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jyzZDGztayKl2i6JartpFce/pJEgANICC/TW1mXd2Vnl3bIP00zakI/HgXD/YTIuRd9FfiIUEMzKbXBQasUPQ==" workbookSaltValue="xN208dNvJ7U8raZP33hNy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O19" i="8" s="1"/>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H10"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G15" i="8" s="1"/>
  <c r="BB12" i="8"/>
  <c r="BA12" i="8"/>
  <c r="AZ12" i="8"/>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V18" i="21"/>
  <c r="AR13" i="21"/>
  <c r="R13" i="12"/>
  <c r="BF17" i="8"/>
  <c r="ER19" i="8"/>
  <c r="AE13" i="21"/>
  <c r="EL19" i="8"/>
  <c r="EQ19" i="8"/>
  <c r="EN19" i="8"/>
  <c r="E15" i="3"/>
  <c r="BA13" i="16"/>
  <c r="E17" i="3"/>
  <c r="E10" i="6"/>
  <c r="ES19" i="8"/>
  <c r="R19" i="8"/>
  <c r="EP19" i="8"/>
  <c r="EP19" i="19"/>
  <c r="S13" i="16"/>
  <c r="P13" i="16"/>
  <c r="W13" i="20"/>
  <c r="T13" i="16"/>
  <c r="BI9" i="11"/>
  <c r="BJ10" i="11"/>
  <c r="BH11" i="11"/>
  <c r="T11" i="11"/>
  <c r="AQ12" i="21"/>
  <c r="BL16" i="11"/>
  <c r="BD9" i="8"/>
  <c r="L10" i="2"/>
  <c r="S15" i="17"/>
  <c r="V10" i="16"/>
  <c r="AP13" i="16"/>
  <c r="T18" i="17"/>
  <c r="BF15" i="13"/>
  <c r="BF16" i="13"/>
  <c r="Z20" i="20"/>
  <c r="H20" i="20"/>
  <c r="G18" i="14"/>
  <c r="AK20" i="20"/>
  <c r="T20" i="20"/>
  <c r="O16" i="11"/>
  <c r="I19" i="8" l="1"/>
  <c r="AL19" i="8"/>
  <c r="AJ19" i="8"/>
  <c r="BM18" i="16"/>
  <c r="W19" i="8"/>
  <c r="G18" i="12"/>
  <c r="L19" i="8"/>
  <c r="C18" i="7"/>
  <c r="B13" i="7"/>
  <c r="I12" i="3"/>
  <c r="AG19" i="8"/>
  <c r="F13" i="7"/>
  <c r="AO12" i="11"/>
  <c r="B12" i="6"/>
  <c r="X15" i="16"/>
  <c r="X18" i="16" s="1"/>
  <c r="BJ16" i="11"/>
  <c r="BH16" i="11"/>
  <c r="BG16" i="11"/>
  <c r="BK16" i="11"/>
  <c r="AQ10" i="21"/>
  <c r="X12" i="21"/>
  <c r="BV15" i="16"/>
  <c r="BH9" i="16"/>
  <c r="BG10" i="11"/>
  <c r="P17" i="17"/>
  <c r="BF16" i="11"/>
  <c r="BL12" i="11"/>
  <c r="V12" i="21"/>
  <c r="BK11" i="11"/>
  <c r="AP10" i="21"/>
  <c r="BH9" i="11"/>
  <c r="BJ15" i="11"/>
  <c r="AP15" i="20"/>
  <c r="R17" i="20"/>
  <c r="R18" i="20" s="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2" i="2"/>
  <c r="U9" i="17"/>
  <c r="U19" i="17" s="1"/>
  <c r="BJ17" i="11"/>
  <c r="BM16" i="11"/>
  <c r="BF17" i="11"/>
  <c r="S17" i="16"/>
  <c r="V17" i="16"/>
  <c r="V11" i="11"/>
  <c r="BM12" i="11"/>
  <c r="BI15" i="11"/>
  <c r="BJ12" i="11"/>
  <c r="BG15" i="11"/>
  <c r="BK17" i="11"/>
  <c r="T17" i="16"/>
  <c r="T15" i="16"/>
  <c r="BU15" i="17"/>
  <c r="BW9" i="20"/>
  <c r="BW17" i="20"/>
  <c r="BV16" i="16"/>
  <c r="BW16" i="20"/>
  <c r="BW15" i="20"/>
  <c r="BU9" i="17"/>
  <c r="BV10" i="16"/>
  <c r="BU17" i="17"/>
  <c r="BU16" i="17"/>
  <c r="BV9" i="16"/>
  <c r="AZ12" i="11"/>
  <c r="T15" i="11"/>
  <c r="T16" i="11"/>
  <c r="BG12" i="11"/>
  <c r="Q17" i="17"/>
  <c r="X13" i="20"/>
  <c r="AY13" i="8"/>
  <c r="BD12" i="8"/>
  <c r="BE12" i="8"/>
  <c r="I12" i="7" s="1"/>
  <c r="L11" i="14"/>
  <c r="F11" i="11"/>
  <c r="AQ11" i="11" s="1"/>
  <c r="BE12" i="21"/>
  <c r="BE15" i="13"/>
  <c r="BM15" i="11"/>
  <c r="BH17" i="11"/>
  <c r="BL11" i="11"/>
  <c r="BG9" i="11"/>
  <c r="BI17" i="11"/>
  <c r="R10" i="21"/>
  <c r="R13" i="21" s="1"/>
  <c r="BJ11" i="11"/>
  <c r="V9" i="11"/>
  <c r="Q10" i="21"/>
  <c r="BI10" i="11"/>
  <c r="AZ17" i="11"/>
  <c r="X9" i="17"/>
  <c r="BK15" i="11"/>
  <c r="X11" i="17"/>
  <c r="BK9" i="11"/>
  <c r="BF10" i="11"/>
  <c r="BK12" i="11"/>
  <c r="BL17" i="11"/>
  <c r="Q17" i="20"/>
  <c r="Q18" i="20" s="1"/>
  <c r="BH15" i="16"/>
  <c r="BH15" i="11"/>
  <c r="V15" i="11"/>
  <c r="AP16" i="20"/>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BE13" i="21"/>
  <c r="BE19" i="21" s="1"/>
  <c r="BD18" i="19"/>
  <c r="CN19" i="19"/>
  <c r="BD12" i="13"/>
  <c r="AC19" i="13"/>
  <c r="AA19" i="13"/>
  <c r="W19" i="13"/>
  <c r="BE17" i="13"/>
  <c r="BG10" i="13"/>
  <c r="E12" i="6"/>
  <c r="AV18" i="17"/>
  <c r="BE11" i="8"/>
  <c r="I11" i="7" s="1"/>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I12" i="12" l="1"/>
  <c r="R19" i="21"/>
  <c r="I11"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AL20" i="20"/>
  <c r="R20" i="20"/>
  <c r="AC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<sst xmlns="http://schemas.openxmlformats.org/spreadsheetml/2006/main" count="2094" uniqueCount="914">
  <si>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</si>
  <si>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</si>
  <si>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</si>
  <si>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</si>
  <si>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</si>
  <si>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</si>
  <si>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</si>
  <si>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</si>
  <si>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</si>
  <si>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</si>
  <si>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</si>
  <si>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</si>
  <si>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</si>
  <si>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</si>
  <si>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</si>
  <si>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</si>
  <si>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</si>
  <si>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</si>
  <si>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</si>
  <si>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</si>
  <si>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</si>
  <si>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</si>
  <si>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</si>
  <si>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</si>
  <si>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</si>
  <si>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</si>
  <si>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</si>
  <si>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</si>
  <si>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</si>
  <si>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</si>
  <si>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</si>
  <si>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</si>
  <si>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</si>
  <si>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</si>
  <si>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</si>
  <si>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</si>
  <si>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</si>
  <si>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</si>
  <si>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</si>
  <si>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</si>
  <si>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</si>
  <si>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</si>
  <si>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</si>
  <si>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</si>
  <si>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</si>
  <si>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</si>
  <si>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</si>
  <si>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</si>
  <si>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</si>
  <si>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</si>
  <si>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</si>
  <si>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</si>
  <si>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</si>
  <si>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</si>
  <si>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</si>
  <si>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</si>
  <si>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</si>
  <si>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</si>
  <si>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</si>
  <si>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</si>
  <si>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</si>
  <si>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</si>
  <si>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</si>
  <si>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</si>
  <si>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</si>
  <si>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</si>
  <si>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</si>
  <si>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</si>
  <si>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</si>
  <si>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</si>
  <si>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</si>
  <si>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</si>
  <si>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</si>
  <si>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</si>
  <si>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</si>
  <si>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</si>
  <si>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</si>
  <si>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</si>
  <si>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</si>
  <si>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</si>
  <si>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</si>
  <si>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</si>
  <si>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</si>
  <si>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</si>
  <si>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</si>
  <si>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</si>
  <si>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</si>
  <si>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</si>
  <si>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</si>
  <si>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</si>
  <si>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</si>
  <si>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</si>
  <si>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</si>
  <si>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</si>
  <si>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</si>
  <si>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</si>
  <si>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</si>
  <si>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</si>
  <si>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</si>
  <si>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</si>
  <si>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</si>
  <si>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</si>
  <si>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</si>
  <si>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</si>
  <si>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</si>
  <si>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</si>
  <si>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</si>
  <si>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</si>
  <si>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</si>
  <si>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</si>
  <si>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</si>
  <si>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</si>
  <si>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</si>
  <si>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</si>
  <si>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</si>
  <si>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</si>
  <si>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</si>
  <si>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</si>
  <si>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</si>
  <si>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</si>
  <si>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</si>
  <si>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</si>
  <si>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</si>
  <si>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</si>
  <si>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</si>
  <si>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</si>
  <si>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</si>
  <si>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</si>
  <si>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</si>
  <si>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</si>
  <si>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</si>
  <si>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</si>
  <si>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</si>
  <si>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</si>
  <si>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</si>
  <si>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</si>
  <si>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</si>
  <si>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</si>
  <si>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</si>
  <si>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</si>
  <si>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</si>
  <si>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</si>
  <si>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</si>
  <si>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</si>
  <si>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</si>
  <si>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</si>
  <si>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</si>
  <si>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</si>
  <si>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</si>
  <si>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</si>
  <si>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</si>
  <si>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</si>
  <si>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</si>
  <si>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</si>
  <si>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</si>
  <si>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</si>
  <si>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</si>
  <si>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</si>
  <si>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</si>
  <si>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</si>
  <si>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</si>
  <si>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</si>
  <si>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</si>
  <si>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</si>
  <si>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</si>
  <si>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</si>
  <si>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</si>
  <si>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</si>
  <si>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</si>
  <si>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</si>
  <si>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</si>
  <si>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</si>
  <si>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</si>
  <si>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</si>
  <si>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</si>
  <si>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</si>
  <si>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</si>
  <si>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</si>
  <si>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</si>
  <si>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</si>
  <si>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</si>
  <si>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</si>
  <si>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</si>
  <si>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</si>
  <si>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</si>
  <si>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</si>
  <si>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</si>
  <si>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</si>
  <si>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</si>
  <si>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</si>
  <si>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</si>
  <si>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</si>
  <si>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</si>
  <si>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</si>
  <si>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</si>
  <si>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</si>
  <si>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</si>
  <si>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</si>
  <si>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</si>
  <si>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</si>
  <si>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</si>
  <si>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</si>
  <si>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</si>
  <si>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</si>
  <si>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</si>
  <si>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</si>
  <si>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</si>
  <si>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</si>
  <si>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</si>
  <si>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</si>
  <si>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</si>
  <si>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</si>
  <si>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</si>
  <si>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</si>
  <si>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</si>
  <si>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</si>
  <si>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</si>
  <si>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</si>
  <si>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</si>
  <si>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</si>
  <si>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</si>
  <si>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</si>
  <si>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</si>
  <si>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</si>
  <si>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</si>
  <si>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</si>
  <si>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</si>
  <si>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</si>
  <si>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</si>
  <si>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</si>
  <si>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</si>
  <si>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</si>
  <si>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</si>
  <si>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</si>
  <si>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</si>
  <si>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</si>
  <si>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</si>
  <si>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</si>
  <si>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</si>
  <si>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</si>
  <si>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</si>
  <si>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</si>
  <si>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</si>
  <si>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</si>
  <si>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</si>
  <si>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</si>
  <si>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</si>
  <si>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</si>
  <si>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</si>
  <si>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</si>
  <si>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</si>
  <si>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</si>
  <si>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</si>
  <si>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</si>
  <si>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</si>
  <si>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</si>
  <si>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</si>
  <si>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</si>
  <si>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</si>
  <si>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</si>
  <si>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</si>
  <si>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</si>
  <si>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</si>
  <si>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</si>
  <si>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</si>
  <si>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</si>
  <si>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</si>
  <si>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</si>
  <si>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</si>
  <si>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</si>
  <si>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</si>
  <si>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</si>
  <si>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</si>
  <si>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</si>
  <si>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</si>
  <si>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</si>
  <si>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</si>
  <si>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</si>
  <si>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</si>
  <si>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</si>
  <si>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</si>
  <si>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</si>
  <si>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</si>
  <si>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</si>
  <si>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</si>
  <si>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</si>
  <si>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</si>
  <si>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</si>
  <si>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</si>
  <si>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</si>
  <si>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</si>
  <si>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</si>
  <si>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</si>
  <si>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</si>
  <si>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</si>
  <si>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</si>
  <si>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</si>
  <si>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</si>
  <si>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</si>
  <si>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</si>
  <si>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</si>
  <si>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</si>
  <si>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</si>
  <si>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</si>
  <si>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</si>
  <si>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</si>
  <si>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</si>
  <si>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</si>
  <si>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</si>
  <si>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</si>
  <si>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</si>
  <si>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</si>
  <si>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</si>
  <si>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</si>
  <si>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</si>
  <si>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</si>
  <si>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</si>
  <si>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</si>
  <si>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</si>
  <si>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</si>
  <si>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</si>
  <si>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</si>
  <si>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</si>
  <si>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</si>
  <si>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</si>
  <si>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</si>
  <si>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</si>
  <si>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</si>
  <si>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</si>
  <si>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</si>
  <si>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</si>
  <si>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</si>
  <si>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</si>
  <si>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</si>
  <si>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</si>
  <si>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</si>
  <si>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</si>
  <si>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</si>
  <si>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</si>
  <si>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</si>
  <si>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</si>
  <si>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</si>
  <si>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</si>
  <si>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</si>
  <si>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</si>
  <si>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</si>
  <si>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</si>
  <si>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</si>
  <si>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</si>
  <si>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</si>
  <si>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</si>
  <si>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</si>
  <si>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</si>
  <si>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</si>
  <si>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</si>
  <si>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</si>
  <si>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</si>
  <si>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</si>
  <si>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</si>
  <si>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</si>
  <si>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</si>
  <si>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</si>
  <si>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</si>
  <si>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</si>
  <si>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</si>
  <si>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</si>
  <si>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</si>
  <si>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</si>
  <si>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</si>
  <si>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</si>
  <si>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</si>
  <si>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</si>
  <si>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</si>
  <si>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</si>
  <si>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</si>
  <si>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</si>
  <si>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</si>
  <si>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</si>
  <si>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</si>
  <si>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</si>
  <si>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</si>
  <si>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</si>
  <si>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</si>
  <si>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</si>
  <si>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</si>
  <si>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</si>
  <si>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</si>
  <si>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</si>
  <si>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</si>
  <si>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</si>
  <si>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</si>
  <si>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</si>
  <si>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</si>
  <si>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</si>
  <si>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</si>
  <si>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</si>
  <si>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</si>
  <si>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</si>
  <si>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</si>
  <si>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</si>
  <si>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</si>
  <si>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</si>
  <si>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</si>
  <si>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</si>
  <si>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</si>
  <si>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</si>
  <si>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</si>
  <si>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</si>
  <si>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</si>
  <si>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</si>
  <si>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</si>
  <si>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</si>
  <si>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</si>
  <si>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</si>
  <si>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</si>
  <si>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</si>
  <si>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</si>
  <si>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</si>
  <si>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</si>
  <si>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</si>
  <si>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</si>
  <si>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</si>
  <si>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</si>
  <si>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</si>
  <si>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</si>
  <si>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</si>
  <si>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</si>
  <si>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</si>
  <si>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</si>
  <si>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</si>
  <si>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</si>
  <si>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</si>
  <si>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</si>
  <si>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</si>
  <si>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</si>
  <si>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</si>
  <si>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</si>
  <si>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</si>
  <si>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</si>
  <si>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</si>
  <si>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</si>
  <si>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</si>
  <si>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</si>
  <si>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</si>
  <si>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</si>
  <si>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</si>
  <si>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</si>
  <si>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</si>
  <si>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</si>
  <si>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</si>
  <si>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</si>
  <si>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</si>
  <si>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</si>
  <si>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</si>
  <si>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</si>
  <si>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</si>
  <si>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</si>
  <si>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</si>
  <si>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</si>
  <si>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</si>
  <si>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</si>
  <si>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</si>
  <si>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</si>
  <si>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</si>
  <si>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</si>
  <si>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</si>
  <si>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</si>
  <si>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</si>
  <si>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</si>
  <si>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</si>
  <si>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</si>
  <si>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</si>
  <si>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</si>
  <si>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</si>
  <si>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</si>
  <si>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</si>
  <si>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</si>
  <si>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</si>
  <si>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</si>
  <si>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</si>
  <si>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</si>
  <si>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</si>
  <si>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</si>
  <si>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</si>
  <si>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</si>
  <si>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</si>
  <si>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</si>
  <si>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</si>
  <si>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</si>
  <si>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</si>
  <si>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</si>
  <si>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</si>
  <si>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</si>
  <si>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</si>
  <si>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</si>
  <si>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</si>
  <si>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</si>
  <si>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</si>
  <si>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</si>
  <si>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</si>
  <si>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</si>
  <si>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</si>
  <si>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</si>
  <si>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</si>
  <si>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</si>
  <si>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</si>
  <si>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</si>
  <si>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</si>
  <si>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</si>
  <si>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</si>
  <si>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</si>
  <si>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</si>
  <si>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</si>
  <si>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</si>
  <si>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</si>
  <si>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</si>
  <si>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</si>
  <si>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</si>
  <si>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</si>
  <si>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</si>
  <si>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</si>
  <si>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</si>
  <si>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</si>
  <si>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</si>
  <si>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</si>
  <si>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</si>
  <si>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</si>
  <si>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</si>
  <si>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</si>
  <si>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</si>
  <si>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</si>
  <si>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</si>
  <si>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</si>
  <si>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</si>
  <si>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</si>
  <si>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</si>
  <si>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</si>
  <si>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</si>
  <si>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</si>
  <si>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</si>
  <si>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</si>
  <si>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</si>
  <si>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</si>
  <si>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</si>
  <si>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</si>
  <si>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</si>
  <si>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</si>
  <si>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</si>
  <si>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</si>
  <si>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</si>
  <si>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</si>
  <si>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</si>
  <si>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</si>
  <si>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</si>
  <si>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</si>
  <si>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</si>
  <si>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</si>
  <si>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</si>
  <si>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</si>
  <si>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</si>
  <si>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</si>
  <si>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</si>
  <si>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</si>
  <si>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</si>
  <si>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</si>
  <si>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</si>
  <si>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</si>
  <si>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</si>
  <si>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</si>
  <si>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</si>
  <si>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</si>
  <si>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</si>
  <si>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</si>
  <si>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</si>
  <si>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</si>
  <si>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</si>
  <si>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</si>
  <si>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</si>
  <si>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</si>
  <si>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</si>
  <si>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</si>
  <si>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</si>
  <si>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</si>
  <si>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</si>
  <si>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</si>
  <si>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</si>
  <si>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</si>
  <si>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</si>
  <si>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</si>
  <si>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</si>
  <si>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</si>
  <si>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</si>
  <si>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</si>
  <si>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</si>
  <si>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</si>
  <si>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</si>
  <si>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</si>
  <si>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</si>
  <si>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</si>
  <si>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</si>
  <si>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</si>
  <si>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</si>
  <si>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</si>
  <si>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</si>
  <si>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</si>
  <si>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</si>
  <si>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</si>
  <si>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</si>
  <si>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</si>
  <si>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</si>
  <si>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</si>
  <si>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</si>
  <si>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</si>
  <si>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</si>
  <si>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</si>
  <si>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</si>
  <si>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</si>
  <si>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</si>
  <si>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</si>
  <si>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</si>
  <si>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</si>
  <si>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</si>
  <si>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</si>
  <si>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</si>
  <si>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</si>
  <si>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</si>
  <si>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</si>
  <si>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</si>
  <si>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</si>
  <si>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</si>
  <si>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</si>
  <si>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</si>
  <si>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</si>
  <si>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</si>
  <si>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</si>
  <si>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</si>
  <si>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</si>
  <si>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</si>
  <si>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</si>
  <si>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</si>
  <si>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</si>
  <si>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</si>
  <si>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</si>
  <si>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</si>
  <si>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</si>
  <si>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</si>
  <si>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</si>
  <si>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</si>
  <si>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</si>
  <si>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</si>
  <si>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</si>
  <si>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</si>
  <si>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</si>
  <si>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</si>
  <si>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</si>
  <si>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</si>
  <si>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</si>
  <si>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</si>
  <si>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</si>
  <si>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</si>
  <si>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</si>
  <si>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</si>
  <si>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</si>
  <si>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</si>
  <si>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</si>
  <si>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</si>
  <si>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</si>
  <si>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</si>
  <si>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</si>
  <si>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</si>
  <si>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</si>
  <si>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</si>
  <si>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</si>
  <si>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</si>
  <si>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</si>
  <si>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</si>
  <si>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</si>
  <si>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</si>
  <si>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</si>
  <si>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</si>
  <si>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</si>
  <si>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</si>
  <si>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</si>
  <si>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</si>
  <si>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</si>
  <si>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</si>
  <si>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</si>
  <si>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</si>
  <si>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</si>
  <si>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</si>
  <si>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</si>
  <si>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</si>
  <si>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</si>
  <si>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</si>
  <si>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</si>
  <si>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</si>
  <si>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</si>
  <si>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</si>
  <si>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</si>
  <si>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</si>
  <si>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</si>
  <si>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</si>
  <si>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</si>
  <si>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</si>
  <si>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</si>
  <si>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</si>
  <si>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</si>
  <si>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</si>
  <si>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</si>
  <si>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</si>
  <si>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</si>
  <si>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</si>
  <si>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</si>
  <si>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</si>
  <si>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</si>
  <si>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</si>
  <si>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</si>
  <si>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</si>
  <si>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</si>
  <si>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</si>
  <si>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</si>
  <si>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</si>
  <si>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</si>
  <si>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</si>
  <si>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</si>
  <si>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</si>
  <si>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</si>
  <si>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</si>
  <si>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</si>
  <si>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</si>
  <si>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</si>
  <si>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</si>
  <si>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</si>
  <si>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</si>
  <si>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</si>
  <si>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</si>
  <si>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</si>
  <si>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</si>
  <si>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</si>
  <si>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</si>
  <si>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</si>
  <si>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</si>
  <si>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</si>
  <si>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</si>
  <si>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</si>
  <si>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</si>
  <si>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</si>
  <si>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</si>
  <si>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</si>
  <si>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</si>
  <si>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</si>
  <si>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</si>
  <si>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</si>
  <si>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</si>
  <si>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</si>
  <si>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</si>
  <si>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</si>
  <si>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</si>
  <si>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</si>
  <si>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</si>
  <si>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</si>
  <si>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</si>
  <si>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</si>
  <si>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</si>
  <si>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</si>
  <si>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</si>
  <si>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</si>
  <si>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</si>
  <si>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</si>
  <si>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</si>
  <si>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</si>
  <si>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</si>
  <si>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</si>
  <si>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</si>
  <si>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</si>
  <si>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</si>
  <si>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</si>
  <si>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</si>
  <si>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</si>
  <si>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</si>
  <si>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</si>
  <si>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</si>
  <si>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</si>
  <si>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</si>
  <si>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</si>
  <si>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</si>
  <si>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</si>
  <si>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</si>
  <si>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</si>
  <si>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</si>
  <si>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</si>
  <si>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</si>
  <si>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</si>
  <si>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</si>
  <si>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</si>
  <si>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</si>
  <si>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</si>
  <si>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</si>
  <si>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</si>
  <si>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</si>
  <si>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</si>
  <si>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</si>
  <si>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</si>
  <si>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</si>
  <si>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</si>
  <si>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</si>
  <si>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</si>
  <si>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</si>
  <si>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</si>
  <si>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</si>
  <si>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</si>
  <si>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</si>
  <si>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</si>
  <si>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</si>
  <si>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</si>
  <si>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</si>
  <si>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</si>
  <si>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</si>
  <si>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</si>
  <si>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</si>
  <si>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</si>
  <si>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</si>
  <si>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</si>
  <si>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</si>
  <si>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</si>
  <si>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</si>
  <si>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</si>
  <si>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</si>
  <si>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</si>
  <si>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</si>
  <si>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</si>
  <si>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</si>
  <si>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</si>
  <si>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</si>
  <si>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</si>
  <si>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</si>
  <si>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</si>
  <si>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</si>
  <si>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</si>
  <si>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</si>
  <si>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</si>
  <si>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</si>
  <si>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</si>
  <si>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</si>
  <si>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</si>
  <si>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</si>
  <si>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</si>
  <si>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</si>
  <si>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</si>
  <si>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</si>
  <si>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</si>
  <si>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</si>
  <si>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</si>
  <si>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</si>
  <si>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</si>
  <si>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</si>
  <si>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</si>
  <si>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</si>
  <si>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</si>
  <si>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</si>
  <si>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</si>
  <si>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</si>
  <si>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</si>
  <si>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</si>
  <si>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</si>
  <si>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</si>
  <si>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</si>
  <si>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</si>
  <si>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</si>
  <si>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</si>
  <si>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</si>
  <si>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</si>
  <si>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</si>
  <si>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</si>
  <si>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</si>
  <si>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</si>
  <si>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</si>
  <si>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</si>
  <si>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</si>
  <si>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</si>
  <si>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</si>
  <si>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</si>
  <si>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</si>
  <si>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</si>
  <si>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</si>
  <si>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</si>
  <si>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</si>
  <si>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</si>
  <si>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</si>
  <si>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</si>
  <si>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</si>
  <si>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</si>
  <si>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</si>
  <si>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</si>
  <si>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</si>
  <si>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</si>
  <si>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</si>
  <si>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</si>
  <si>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</si>
  <si>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</si>
  <si>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</si>
  <si>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</si>
  <si>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</si>
  <si>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</si>
  <si>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</si>
  <si>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</si>
  <si>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</si>
  <si>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</si>
  <si>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</si>
  <si>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ISLAS BALEARES</t>
  </si>
  <si>
    <t>Provincias</t>
  </si>
  <si>
    <t>ILLES BALEARS</t>
  </si>
  <si>
    <t>Resumenes por Partidos Judiciales</t>
  </si>
  <si>
    <t>CIUTADELLA DE MENORCA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</si>
</sst>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XI7BlMq9WfLaJj1mBTqVu3XHIOSx2Qg0Fh/70/0NH7jh7Z+DArnEwWMbBwWQxPUgsPrLYSTwNQmsG9RAb+Kqw==" saltValue="/rt2drGdGHBKAdh1VCR4O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ISLAS BALEARES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7</v>
      </c>
      <c r="D10" s="225">
        <f>IF(ISNUMBER(Datos!I10),Datos!I10," - ")</f>
        <v>7</v>
      </c>
      <c r="E10" s="226">
        <f>IF(ISNUMBER(Datos!J10),Datos!J10," - ")</f>
        <v>1</v>
      </c>
      <c r="F10" s="226">
        <f>IF(ISNUMBER(Datos!K10),Datos!K10," - ")</f>
        <v>0</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0.14285714285714285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23.722338204592901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7</v>
      </c>
      <c r="D13" s="1049">
        <f>SUBTOTAL(9,D9:D12)</f>
        <v>7</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611</v>
      </c>
      <c r="D16" s="225">
        <f>IF(ISNUMBER(IF(D_I="SI",Datos!I16,Datos!I16+Datos!AC16)),IF(D_I="SI",Datos!I16,Datos!I16+Datos!AC16)," - ")</f>
        <v>594</v>
      </c>
      <c r="E16" s="226">
        <f>IF(ISNUMBER(IF(D_I="SI",Datos!J16,Datos!J16+Datos!AD16)),IF(D_I="SI",Datos!J16,Datos!J16+Datos!AD16)," - ")</f>
        <v>308</v>
      </c>
      <c r="F16" s="226">
        <f>IF(ISNUMBER(IF(D_I="SI",Datos!K16,Datos!K16+Datos!AE16)),IF(D_I="SI",Datos!K16,Datos!K16+Datos!AE16)," - ")</f>
        <v>279</v>
      </c>
      <c r="G16" s="1034" t="str">
        <f>IF(Datos!E16&lt;&gt;"",Datos!E16,Datos!D16)</f>
        <v>04</v>
      </c>
      <c r="H16" s="227">
        <f>IF(ISNUMBER(IF(D_I="SI",Datos!L16,Datos!L16+Datos!AF16)),IF(D_I="SI",Datos!L16,Datos!L16+Datos!AF16)," - ")</f>
        <v>640</v>
      </c>
      <c r="I16" s="1044" t="str">
        <f>IF(ISNUMBER(Datos!AS16/Datos!BM16),Datos!AS16/Datos!BM16," - ")</f>
        <v xml:space="preserve"> - </v>
      </c>
      <c r="J16" s="1045">
        <f>IF(ISNUMBER(Datos!BY16/Datos!CN16),Datos!BY16/Datos!CN16," - ")</f>
        <v>0</v>
      </c>
      <c r="K16" s="230">
        <f t="shared" si="3"/>
        <v>4.7463175122749592E-2</v>
      </c>
      <c r="L16" s="1025">
        <f>IF(ISNUMBER(NºAsuntos!I16/NºAsuntos!G16),(NºAsuntos!I16/NºAsuntos!G16)*11," - ")</f>
        <v>25.232974910394265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73</v>
      </c>
      <c r="D17" s="225">
        <f>IF(ISNUMBER(IF(D_I="SI",Datos!I17,Datos!I17+Datos!AC17)),IF(D_I="SI",Datos!I17,Datos!I17+Datos!AC17)," - ")</f>
        <v>89</v>
      </c>
      <c r="E17" s="226">
        <f>IF(ISNUMBER(IF(D_I="SI",Datos!J17,Datos!J17+Datos!AD17)),IF(D_I="SI",Datos!J17,Datos!J17+Datos!AD17)," - ")</f>
        <v>32</v>
      </c>
      <c r="F17" s="226">
        <f>IF(ISNUMBER(IF(D_I="SI",Datos!K17,Datos!K17+Datos!AE17)),IF(D_I="SI",Datos!K17,Datos!K17+Datos!AE17)," - ")</f>
        <v>25</v>
      </c>
      <c r="G17" s="1034" t="str">
        <f>IF(Datos!E17&lt;&gt;"",Datos!E17,Datos!D17)</f>
        <v>37</v>
      </c>
      <c r="H17" s="227">
        <f>IF(ISNUMBER(IF(D_I="SI",Datos!L17,Datos!L17+Datos!AF17)),IF(D_I="SI",Datos!L17,Datos!L17+Datos!AF17)," - ")</f>
        <v>80</v>
      </c>
      <c r="I17" s="1044" t="str">
        <f>IF(ISNUMBER(Datos!AS17/Datos!BM17),Datos!AS17/Datos!BM17," - ")</f>
        <v xml:space="preserve"> - </v>
      </c>
      <c r="J17" s="1045" t="str">
        <f>IF(ISNUMBER((Datos!BY17+Datos!BZ17)/Datos!CN17),(Datos!BY17+Datos!BZ17)/Datos!CN17," - ")</f>
        <v xml:space="preserve"> - </v>
      </c>
      <c r="K17" s="230">
        <f t="shared" si="3"/>
        <v>9.5890410958904104E-2</v>
      </c>
      <c r="L17" s="1025">
        <f>IF(ISNUMBER(NºAsuntos!I17/NºAsuntos!G17),(NºAsuntos!I17/NºAsuntos!G17)*11," - ")</f>
        <v>35.200000000000003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684</v>
      </c>
      <c r="D18" s="1049">
        <f>SUBTOTAL(9,D15:D17)</f>
        <v>683</v>
      </c>
      <c r="E18" s="1050">
        <f>SUBTOTAL(9,E15:E17)</f>
        <v>340</v>
      </c>
      <c r="F18" s="1050">
        <f>SUBTOTAL(9,F15:F17)</f>
        <v>304</v>
      </c>
      <c r="G18" s="1052" t="str">
        <f ca="1">INDIRECT(CONCATENATE("G",ROW()-1))</f>
        <v>37</v>
      </c>
      <c r="H18" s="1053">
        <f ca="1">SUMIF(G$14:G17,G18,H$14:H17)</f>
        <v>80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691</v>
      </c>
      <c r="D19" s="1071">
        <f>SUBTOTAL(9,D9:D18)</f>
        <v>690</v>
      </c>
      <c r="E19" s="1072">
        <f>SUBTOTAL(9,E9:E18)</f>
        <v>341</v>
      </c>
      <c r="F19" s="1072">
        <f>SUBTOTAL(9,F9:F18)</f>
        <v>304</v>
      </c>
      <c r="G19" s="1073"/>
      <c r="H19" s="1074">
        <f ca="1">SUMIF(B9:B18,"TOTAL",H9:H18)</f>
        <v>80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bB/YXO26BQsZX8pxz5d3xNsZQsZ2cXE9Y2s6A/EofQYPE0cMy+7zUKEvMMjOSrulcw2aic6kaJteOEPB0d+ATA==" saltValue="z2To2V76MYRejLElDO9bf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lVzPC/2bxHgfI8kj6RF6oMuXmJj+ImczRbeuSRtmNSLLpfI0VRfizS2R+BVQ2cR07g2yTPdfwTsAQrWQ4qb/w==" saltValue="15WQuSHnU97rRC4wDYbj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7</v>
      </c>
      <c r="J10" s="181">
        <v>1</v>
      </c>
      <c r="K10" s="181">
        <v>0</v>
      </c>
      <c r="L10" s="181">
        <v>8</v>
      </c>
      <c r="M10" s="181">
        <v>0</v>
      </c>
      <c r="N10" s="181">
        <v>0</v>
      </c>
      <c r="O10" s="181">
        <v>0</v>
      </c>
      <c r="P10" s="181">
        <v>0</v>
      </c>
      <c r="Q10" s="181">
        <v>0</v>
      </c>
      <c r="R10" s="181">
        <v>0</v>
      </c>
      <c r="S10" s="181">
        <v>10</v>
      </c>
      <c r="T10" s="181">
        <v>3</v>
      </c>
      <c r="U10" s="181">
        <v>2</v>
      </c>
      <c r="V10" s="181">
        <v>11</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3</v>
      </c>
      <c r="BA10" s="129">
        <f t="shared" si="0"/>
        <v>2</v>
      </c>
      <c r="BB10" s="129">
        <f t="shared" si="0"/>
        <v>11</v>
      </c>
      <c r="BC10" s="125">
        <f t="shared" si="0"/>
        <v>1</v>
      </c>
      <c r="BD10" s="126">
        <f>IF(ISNUMBER(BA10/AZ10),BA10/AZ10," - ")</f>
        <v>0.66666666666666663</v>
      </c>
      <c r="BE10" s="127">
        <f>IF(ISNUMBER(BB10/BA10),BB10/BA10, " - ")</f>
        <v>5.5</v>
      </c>
      <c r="BF10" s="127">
        <f>IF(ISNUMBER(BC10/BA10),BC10/BA10, " - ")</f>
        <v>0.5</v>
      </c>
      <c r="BG10" s="196">
        <f>IF(ISNUMBER((AY10+AZ10)/BA10),(AY10+AZ10)/BA10," - ")</f>
        <v>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1013</v>
      </c>
      <c r="J12" s="183">
        <v>453</v>
      </c>
      <c r="K12" s="183">
        <v>464</v>
      </c>
      <c r="L12" s="183">
        <v>1002</v>
      </c>
      <c r="M12" s="183">
        <v>127</v>
      </c>
      <c r="N12" s="183">
        <v>222</v>
      </c>
      <c r="O12" s="181">
        <v>168</v>
      </c>
      <c r="P12" s="183">
        <v>114</v>
      </c>
      <c r="Q12" s="183">
        <v>42</v>
      </c>
      <c r="R12" s="183">
        <v>1347</v>
      </c>
      <c r="S12" s="183">
        <v>799</v>
      </c>
      <c r="T12" s="183">
        <v>364</v>
      </c>
      <c r="U12" s="183">
        <v>361</v>
      </c>
      <c r="V12" s="183">
        <v>802</v>
      </c>
      <c r="W12" s="183">
        <v>84</v>
      </c>
      <c r="X12" s="189">
        <v>171</v>
      </c>
      <c r="Y12" s="191">
        <v>32</v>
      </c>
      <c r="Z12" s="181">
        <v>14</v>
      </c>
      <c r="AA12" s="181">
        <v>15</v>
      </c>
      <c r="AB12" s="181">
        <v>31</v>
      </c>
      <c r="AC12" s="183">
        <v>0</v>
      </c>
      <c r="AD12" s="183">
        <v>0</v>
      </c>
      <c r="AE12" s="183">
        <v>0</v>
      </c>
      <c r="AF12" s="189">
        <v>0</v>
      </c>
      <c r="AG12" s="202">
        <v>28</v>
      </c>
      <c r="AH12" s="183">
        <v>23</v>
      </c>
      <c r="AI12" s="183">
        <v>23</v>
      </c>
      <c r="AJ12" s="203">
        <v>28</v>
      </c>
      <c r="AK12" s="182">
        <v>0</v>
      </c>
      <c r="AL12" s="183">
        <v>0</v>
      </c>
      <c r="AM12" s="183">
        <v>0</v>
      </c>
      <c r="AN12" s="189">
        <v>0</v>
      </c>
      <c r="AO12" s="259">
        <v>2</v>
      </c>
      <c r="AP12" s="155">
        <v>2</v>
      </c>
      <c r="AQ12" s="155">
        <v>2</v>
      </c>
      <c r="AR12" s="154">
        <v>2</v>
      </c>
      <c r="AS12" s="340" t="s">
        <v>802</v>
      </c>
      <c r="AT12" s="203"/>
      <c r="AU12" s="202"/>
      <c r="AV12" s="203"/>
      <c r="AW12" s="202"/>
      <c r="AX12" s="203"/>
      <c r="AY12" s="126">
        <f t="shared" si="1"/>
        <v>827</v>
      </c>
      <c r="AZ12" s="127">
        <f t="shared" si="1"/>
        <v>387</v>
      </c>
      <c r="BA12" s="127">
        <f t="shared" si="1"/>
        <v>384</v>
      </c>
      <c r="BB12" s="127">
        <f t="shared" si="1"/>
        <v>830</v>
      </c>
      <c r="BC12" s="125">
        <f>IF(ISNUMBER(X12),X12," - ")</f>
        <v>171</v>
      </c>
      <c r="BD12" s="126">
        <f t="shared" si="2"/>
        <v>0.99224806201550386</v>
      </c>
      <c r="BE12" s="127">
        <f t="shared" si="3"/>
        <v>2.1614583333333335</v>
      </c>
      <c r="BF12" s="127">
        <f t="shared" si="4"/>
        <v>0.4453125</v>
      </c>
      <c r="BG12" s="196">
        <f t="shared" si="5"/>
        <v>3.1614583333333335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1020</v>
      </c>
      <c r="J13" s="184">
        <f t="shared" si="6"/>
        <v>454</v>
      </c>
      <c r="K13" s="184">
        <f t="shared" si="6"/>
        <v>464</v>
      </c>
      <c r="L13" s="184">
        <f t="shared" si="6"/>
        <v>1010</v>
      </c>
      <c r="M13" s="184">
        <f t="shared" si="6"/>
        <v>127</v>
      </c>
      <c r="N13" s="184">
        <f t="shared" si="6"/>
        <v>222</v>
      </c>
      <c r="O13" s="184">
        <f t="shared" si="6"/>
        <v>168</v>
      </c>
      <c r="P13" s="184">
        <f t="shared" si="6"/>
        <v>114</v>
      </c>
      <c r="Q13" s="184">
        <f t="shared" si="6"/>
        <v>42</v>
      </c>
      <c r="R13" s="184">
        <f t="shared" si="6"/>
        <v>1347</v>
      </c>
      <c r="S13" s="184">
        <f t="shared" si="6"/>
        <v>809</v>
      </c>
      <c r="T13" s="184">
        <f t="shared" si="6"/>
        <v>367</v>
      </c>
      <c r="U13" s="184">
        <f t="shared" si="6"/>
        <v>363</v>
      </c>
      <c r="V13" s="184">
        <f t="shared" si="6"/>
        <v>813</v>
      </c>
      <c r="W13" s="184">
        <f t="shared" si="6"/>
        <v>85</v>
      </c>
      <c r="X13" s="184">
        <f t="shared" si="6"/>
        <v>172</v>
      </c>
      <c r="Y13" s="184">
        <f t="shared" si="6"/>
        <v>32</v>
      </c>
      <c r="Z13" s="184">
        <f t="shared" si="6"/>
        <v>14</v>
      </c>
      <c r="AA13" s="184">
        <f t="shared" si="6"/>
        <v>15</v>
      </c>
      <c r="AB13" s="184">
        <f t="shared" si="6"/>
        <v>31</v>
      </c>
      <c r="AC13" s="184">
        <f t="shared" si="6"/>
        <v>0</v>
      </c>
      <c r="AD13" s="184">
        <f t="shared" si="6"/>
        <v>0</v>
      </c>
      <c r="AE13" s="184">
        <f t="shared" si="6"/>
        <v>0</v>
      </c>
      <c r="AF13" s="184">
        <f>SUBTOTAL(9,AF9:AF12)</f>
        <v>0</v>
      </c>
      <c r="AG13" s="184">
        <f t="shared" ref="AG13:AT13" si="7">SUBTOTAL(9,AG8:AG12)</f>
        <v>28</v>
      </c>
      <c r="AH13" s="184">
        <f t="shared" si="7"/>
        <v>23</v>
      </c>
      <c r="AI13" s="184">
        <f t="shared" si="7"/>
        <v>23</v>
      </c>
      <c r="AJ13" s="184">
        <f t="shared" si="7"/>
        <v>28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837</v>
      </c>
      <c r="AZ13" s="184">
        <f>SUBTOTAL(9,AZ8:AZ12)</f>
        <v>390</v>
      </c>
      <c r="BA13" s="184">
        <f>SUBTOTAL(9,BA8:BA12)</f>
        <v>386</v>
      </c>
      <c r="BB13" s="184">
        <f>SUBTOTAL(9,BB8:BB12)</f>
        <v>841</v>
      </c>
      <c r="BC13" s="184">
        <f>SUBTOTAL(9,BC8:BC12)</f>
        <v>172</v>
      </c>
      <c r="BD13" s="205">
        <f>IF(ISNUMBER(BA13/AZ13),BA13/AZ13," - ")</f>
        <v>0.98974358974358978</v>
      </c>
      <c r="BE13" s="206">
        <f>IF(ISNUMBER(BB13/BA13),BB13/BA13, " - ")</f>
        <v>2.178756476683938</v>
      </c>
      <c r="BF13" s="206">
        <f>IF(ISNUMBER(BC13/BA13),BC13/BA13, " - ")</f>
        <v>0.44559585492227977</v>
      </c>
      <c r="BG13" s="207">
        <f>IF(ISNUMBER((AY13+AZ13)/BA13),(AY13+AZ13)/BA13," - ")</f>
        <v>3.178756476683938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594</v>
      </c>
      <c r="J16" s="183">
        <v>308</v>
      </c>
      <c r="K16" s="183">
        <v>279</v>
      </c>
      <c r="L16" s="183">
        <v>640</v>
      </c>
      <c r="M16" s="183">
        <v>52</v>
      </c>
      <c r="N16" s="183">
        <v>138</v>
      </c>
      <c r="O16" s="181">
        <v>12</v>
      </c>
      <c r="P16" s="183">
        <v>38</v>
      </c>
      <c r="Q16" s="183">
        <v>25</v>
      </c>
      <c r="R16" s="183">
        <v>88</v>
      </c>
      <c r="S16" s="183">
        <v>453</v>
      </c>
      <c r="T16" s="183">
        <v>296</v>
      </c>
      <c r="U16" s="183">
        <v>287</v>
      </c>
      <c r="V16" s="183">
        <v>414</v>
      </c>
      <c r="W16" s="183">
        <v>71</v>
      </c>
      <c r="X16" s="189">
        <v>154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453</v>
      </c>
      <c r="AZ16" s="127">
        <f t="shared" si="9"/>
        <v>296</v>
      </c>
      <c r="BA16" s="127">
        <f t="shared" si="9"/>
        <v>287</v>
      </c>
      <c r="BB16" s="127">
        <f t="shared" si="9"/>
        <v>414</v>
      </c>
      <c r="BC16" s="125">
        <f>IF(ISNUMBER(W16),W16," - ")</f>
        <v>71</v>
      </c>
      <c r="BD16" s="126">
        <f t="shared" ref="BD16" si="11">IF(ISNUMBER(BA16/AZ16),BA16/AZ16," - ")</f>
        <v>0.96959459459459463</v>
      </c>
      <c r="BE16" s="127">
        <f t="shared" ref="BE16" si="12">IF(ISNUMBER(BB16/BA16),BB16/BA16, " - ")</f>
        <v>1.4425087108013936</v>
      </c>
      <c r="BF16" s="127">
        <f t="shared" ref="BF16" si="13">IF(ISNUMBER(BC16/BA16),BC16/BA16, " - ")</f>
        <v>0.24738675958188153</v>
      </c>
      <c r="BG16" s="196">
        <f t="shared" si="10"/>
        <v>2.6097560975609757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89</v>
      </c>
      <c r="J17" s="183">
        <v>32</v>
      </c>
      <c r="K17" s="183">
        <v>25</v>
      </c>
      <c r="L17" s="183">
        <v>80</v>
      </c>
      <c r="M17" s="183">
        <v>5</v>
      </c>
      <c r="N17" s="183">
        <v>13</v>
      </c>
      <c r="O17" s="183">
        <v>0</v>
      </c>
      <c r="P17" s="183">
        <v>0</v>
      </c>
      <c r="Q17" s="183">
        <v>0</v>
      </c>
      <c r="R17" s="183">
        <v>0</v>
      </c>
      <c r="S17" s="183">
        <v>61</v>
      </c>
      <c r="T17" s="183">
        <v>32</v>
      </c>
      <c r="U17" s="183">
        <v>30</v>
      </c>
      <c r="V17" s="183">
        <v>63</v>
      </c>
      <c r="W17" s="183">
        <v>3</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61</v>
      </c>
      <c r="AZ17" s="129">
        <f t="shared" si="14"/>
        <v>32</v>
      </c>
      <c r="BA17" s="129">
        <f t="shared" si="14"/>
        <v>30</v>
      </c>
      <c r="BB17" s="129">
        <f t="shared" si="14"/>
        <v>63</v>
      </c>
      <c r="BC17" s="125">
        <f>IF(ISNUMBER(W17),W17," - ")</f>
        <v>3</v>
      </c>
      <c r="BD17" s="126">
        <f>IF(ISNUMBER(BA17/AZ17),BA17/AZ17," - ")</f>
        <v>0.9375</v>
      </c>
      <c r="BE17" s="127">
        <f>IF(ISNUMBER(BB17/BA17),BB17/BA17, " - ")</f>
        <v>2.1</v>
      </c>
      <c r="BF17" s="127">
        <f>IF(ISNUMBER(BC17/BA17),BC17/BA17, " - ")</f>
        <v>0.1</v>
      </c>
      <c r="BG17" s="196">
        <f>IF(ISNUMBER((AY17+AZ17)/BA17),(AY17+AZ17)/BA17," - ")</f>
        <v>3.1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683</v>
      </c>
      <c r="J18" s="184">
        <f t="shared" si="15"/>
        <v>340</v>
      </c>
      <c r="K18" s="184">
        <f t="shared" si="15"/>
        <v>304</v>
      </c>
      <c r="L18" s="184">
        <f t="shared" si="15"/>
        <v>720</v>
      </c>
      <c r="M18" s="184">
        <f t="shared" si="15"/>
        <v>57</v>
      </c>
      <c r="N18" s="184">
        <f t="shared" si="15"/>
        <v>151</v>
      </c>
      <c r="O18" s="184">
        <f t="shared" si="15"/>
        <v>12</v>
      </c>
      <c r="P18" s="184">
        <f t="shared" si="15"/>
        <v>38</v>
      </c>
      <c r="Q18" s="184">
        <f t="shared" si="15"/>
        <v>25</v>
      </c>
      <c r="R18" s="184">
        <f t="shared" si="15"/>
        <v>88</v>
      </c>
      <c r="S18" s="184">
        <f t="shared" si="15"/>
        <v>514</v>
      </c>
      <c r="T18" s="184">
        <f t="shared" si="15"/>
        <v>328</v>
      </c>
      <c r="U18" s="184">
        <f t="shared" si="15"/>
        <v>317</v>
      </c>
      <c r="V18" s="184">
        <f t="shared" si="15"/>
        <v>477</v>
      </c>
      <c r="W18" s="184">
        <f t="shared" si="15"/>
        <v>74</v>
      </c>
      <c r="X18" s="184">
        <f t="shared" si="15"/>
        <v>170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514</v>
      </c>
      <c r="AZ18" s="184">
        <f>SUBTOTAL(9,AZ14:AZ17)</f>
        <v>328</v>
      </c>
      <c r="BA18" s="184">
        <f>SUBTOTAL(9,BA14:BA17)</f>
        <v>317</v>
      </c>
      <c r="BB18" s="184">
        <f>SUBTOTAL(9,BB14:BB17)</f>
        <v>477</v>
      </c>
      <c r="BC18" s="184">
        <f>SUBTOTAL(9,BC14:BC17)</f>
        <v>74</v>
      </c>
      <c r="BD18" s="205">
        <f>IF(ISNUMBER(BA18/AZ18),BA18/AZ18," - ")</f>
        <v>0.96646341463414631</v>
      </c>
      <c r="BE18" s="206">
        <f>IF(ISNUMBER(BB18/BA18),BB18/BA18, " - ")</f>
        <v>1.5047318611987381</v>
      </c>
      <c r="BF18" s="206">
        <f>IF(ISNUMBER(BC18/BA18),BC18/BA18, " - ")</f>
        <v>0.2334384858044164</v>
      </c>
      <c r="BG18" s="207">
        <f>IF(ISNUMBER((AY18+AZ18)/BA18),(AY18+AZ18)/BA18," - ")</f>
        <v>2.6561514195583595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1703</v>
      </c>
      <c r="J19" s="134">
        <f t="shared" si="18"/>
        <v>794</v>
      </c>
      <c r="K19" s="134">
        <f t="shared" si="18"/>
        <v>768</v>
      </c>
      <c r="L19" s="134">
        <f t="shared" si="18"/>
        <v>1730</v>
      </c>
      <c r="M19" s="134">
        <f t="shared" si="18"/>
        <v>184</v>
      </c>
      <c r="N19" s="134">
        <f t="shared" si="18"/>
        <v>373</v>
      </c>
      <c r="O19" s="134">
        <f t="shared" si="18"/>
        <v>180</v>
      </c>
      <c r="P19" s="134">
        <f t="shared" si="18"/>
        <v>152</v>
      </c>
      <c r="Q19" s="134">
        <f t="shared" si="18"/>
        <v>67</v>
      </c>
      <c r="R19" s="134">
        <f t="shared" si="18"/>
        <v>1435</v>
      </c>
      <c r="S19" s="134">
        <f t="shared" si="18"/>
        <v>1323</v>
      </c>
      <c r="T19" s="134">
        <f t="shared" si="18"/>
        <v>695</v>
      </c>
      <c r="U19" s="134">
        <f t="shared" si="18"/>
        <v>680</v>
      </c>
      <c r="V19" s="134">
        <f t="shared" si="18"/>
        <v>1290</v>
      </c>
      <c r="W19" s="134">
        <f t="shared" si="18"/>
        <v>159</v>
      </c>
      <c r="X19" s="134">
        <f t="shared" si="18"/>
        <v>342</v>
      </c>
      <c r="Y19" s="134">
        <f t="shared" si="18"/>
        <v>32</v>
      </c>
      <c r="Z19" s="134">
        <f t="shared" si="18"/>
        <v>14</v>
      </c>
      <c r="AA19" s="134">
        <f t="shared" si="18"/>
        <v>15</v>
      </c>
      <c r="AB19" s="134">
        <f t="shared" si="18"/>
        <v>31</v>
      </c>
      <c r="AC19" s="134">
        <f t="shared" si="18"/>
        <v>0</v>
      </c>
      <c r="AD19" s="134">
        <f t="shared" si="18"/>
        <v>0</v>
      </c>
      <c r="AE19" s="134">
        <f t="shared" si="18"/>
        <v>0</v>
      </c>
      <c r="AF19" s="134">
        <f t="shared" si="18"/>
        <v>0</v>
      </c>
      <c r="AG19" s="134">
        <f t="shared" si="18"/>
        <v>28</v>
      </c>
      <c r="AH19" s="134">
        <f t="shared" si="18"/>
        <v>23</v>
      </c>
      <c r="AI19" s="134">
        <f t="shared" si="18"/>
        <v>23</v>
      </c>
      <c r="AJ19" s="134">
        <f t="shared" si="18"/>
        <v>28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1351</v>
      </c>
      <c r="AZ19" s="134">
        <f>SUBTOTAL(9,AZ9:AZ18)</f>
        <v>718</v>
      </c>
      <c r="BA19" s="134">
        <f>SUBTOTAL(9,BA9:BA18)</f>
        <v>703</v>
      </c>
      <c r="BB19" s="134">
        <f>SUBTOTAL(9,BB9:BB18)</f>
        <v>1318</v>
      </c>
      <c r="BC19" s="135">
        <f>SUBTOTAL(9,BC9:BC18)</f>
        <v>246</v>
      </c>
      <c r="BD19" s="213">
        <f>IF(ISNUMBER(BA19/AZ19),BA19/AZ19," - ")</f>
        <v>0.97910863509749302</v>
      </c>
      <c r="BE19" s="210">
        <f>IF(ISNUMBER(BB19/BA19),BB19/BA19, " - ")</f>
        <v>1.8748221906116642</v>
      </c>
      <c r="BF19" s="210">
        <f>IF(ISNUMBER(BC19/BA19),BC19/BA19, " - ")</f>
        <v>0.34992887624466573</v>
      </c>
      <c r="BG19" s="135">
        <f>IF(ISNUMBER((AY19+AZ19)/BA19),(AY19+AZ19)/BA19," - ")</f>
        <v>2.9431009957325749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u3XZAGPEB09XiDMUoMVTkzPp7kjqxozaG4/iNPKMr2ZBn8Z+4oLBtXe3lcONLR9crDSSgR0k3o8gaqrdM+NgSA==" saltValue="K90eELUV8Mk1gRep9Ddp0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oN/adznICcPJbLwUaYAAVOdx+6m1fV7e3o1ibrdgrWv6Xyz3TV2uyTV8N3xnYMet55YoztMVzsR0PuP5W1dGg==" saltValue="6Wr8X8T8aSK7GbH4aLhMZ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ISLAS BALEARES</v>
      </c>
    </row>
    <row r="2" spans="1:74" ht="16.5" customHeight="1">
      <c r="C2" s="488" t="str">
        <f>Criterios!A10 &amp;"  "&amp;Criterios!B10 &amp; "  " &amp; IF(NOT(ISBLANK(Criterios!A11)),Criterios!A11 &amp;"  "&amp;Criterios!B11,"")</f>
        <v>Provincias  ILLES BALEARS  Resumenes por Partidos Judiciales  CIUTADELLA DE MENORCA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8</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114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1347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127</v>
      </c>
      <c r="BD12" s="229">
        <f>IF(ISNUMBER(Datos!N12),Datos!N12," - ")</f>
        <v>222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1.025695931477516</v>
      </c>
      <c r="BH12" s="260">
        <f>IF(ISNUMBER(((IF(J_V="SI",Datos!L12/Datos!K12,(Datos!L12+Datos!AB12)/(Datos!K12+Datos!AA12)))*11)/factor_trimestre),((IF(J_V="SI",Datos!L12/Datos!K12,(Datos!L12+Datos!AB12)/(Datos!K12+Datos!AA12)))*11)/factor_trimestre," - ")</f>
        <v>6.4697286012526094</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5.647058823529412E-2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114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42</v>
      </c>
      <c r="AD13" s="899">
        <f t="shared" si="1"/>
        <v>0</v>
      </c>
      <c r="AE13" s="899">
        <f t="shared" si="1"/>
        <v>0</v>
      </c>
      <c r="AF13" s="899">
        <f t="shared" si="1"/>
        <v>8</v>
      </c>
      <c r="AG13" s="899">
        <f t="shared" si="1"/>
        <v>0</v>
      </c>
      <c r="AH13" s="899">
        <f t="shared" si="1"/>
        <v>31</v>
      </c>
      <c r="AI13" s="899">
        <f t="shared" si="1"/>
        <v>0</v>
      </c>
      <c r="AJ13" s="899">
        <f t="shared" si="1"/>
        <v>0</v>
      </c>
      <c r="AK13" s="899">
        <f t="shared" si="1"/>
        <v>0</v>
      </c>
      <c r="AL13" s="899">
        <f t="shared" si="1"/>
        <v>0</v>
      </c>
      <c r="AM13" s="899">
        <f t="shared" si="1"/>
        <v>1347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127</v>
      </c>
      <c r="BD13" s="899">
        <f t="shared" si="1"/>
        <v>222</v>
      </c>
      <c r="BE13" s="899">
        <f t="shared" si="1"/>
        <v>0</v>
      </c>
      <c r="BF13" s="899">
        <f t="shared" si="1"/>
        <v>0</v>
      </c>
      <c r="BG13" s="899">
        <f>IF(ISNUMBER(Datos!K13/Datos!J13),Datos!K13/Datos!J13," - ")</f>
        <v>1.0220264317180616</v>
      </c>
      <c r="BH13" s="903">
        <f>IF(ISNUMBER(((Datos!L13/Datos!K13)*11)/factor_trimestre),((Datos!L13/Datos!K13)*11)/factor_trimestre," - ")</f>
        <v>6.5301724137931041</v>
      </c>
      <c r="BI13" s="899">
        <f>IF(ISNUMBER('Resol  Asuntos'!D13/NºAsuntos!G13),'Resol  Asuntos'!D13/NºAsuntos!G13," - ")</f>
        <v>0.26513569937369519</v>
      </c>
      <c r="BJ13" s="899" t="str">
        <f>IF(ISNUMBER(Datos!CI13/Datos!CJ13),Datos!CI13/Datos!CJ13," - ")</f>
        <v xml:space="preserve"> - </v>
      </c>
      <c r="BK13" s="899">
        <f>SUBTOTAL(9,BK8:BK12)</f>
        <v>0</v>
      </c>
      <c r="BL13" s="899">
        <f>IF(ISNUMBER((I13-AB13+L13)/(F13)),(I13-AB13+L13)/(F13)," - ")</f>
        <v>0</v>
      </c>
      <c r="BM13" s="904">
        <f>SUBTOTAL(9,BM9:BM12)</f>
        <v>5.647058823529412E-2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611</v>
      </c>
      <c r="G16" s="598">
        <f>IF(ISNUMBER(IF(D_I="SI",Datos!I16,Datos!I16+Datos!AC16)),IF(D_I="SI",Datos!I16,Datos!I16+Datos!AC16)," - ")</f>
        <v>594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279</v>
      </c>
      <c r="AC16" s="226">
        <f>IF(ISNUMBER(Datos!Q16),Datos!Q16," - ")</f>
        <v>25</v>
      </c>
      <c r="AD16" s="334"/>
      <c r="AE16" s="484"/>
      <c r="AF16" s="596">
        <f>IF(ISNUMBER(IF(D_I="SI",Datos!L16,Datos!L16+Datos!AF16)),IF(D_I="SI",Datos!L16,Datos!L16+Datos!AF16)," - ")</f>
        <v>640</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138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0.9058441558441559</v>
      </c>
      <c r="BH16" s="260">
        <f>IF(ISNUMBER(((IF(D_I="SI",Datos!L16/Datos!K16,(Datos!L16+Datos!AF16)/(Datos!K16+Datos!AE16)))*11)/factor_trimestre),((IF(D_I="SI",Datos!L16/Datos!K16,(Datos!L16+Datos!AF16)/(Datos!K16+Datos!AE16)))*11)/factor_trimestre," - ")</f>
        <v>6.881720430107527</v>
      </c>
      <c r="BI16" s="243">
        <f>IF(ISNUMBER('Resol  Asuntos'!D16/NºAsuntos!G16),'Resol  Asuntos'!D16/NºAsuntos!G16," - ")</f>
        <v>0.1863799283154122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80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0.78125</v>
      </c>
      <c r="BH17" s="260">
        <f>IF(ISNUMBER(((IF(D_I="SI",Datos!L17/Datos!K17,(Datos!L17+Datos!AF17)/(Datos!K17+Datos!AE17)))*11)/factor_trimestre),((IF(D_I="SI",Datos!L17/Datos!K17,(Datos!L17+Datos!AF17)/(Datos!K17+Datos!AE17)))*11)/factor_trimestre," - ")</f>
        <v>9.6000000000000014</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611</v>
      </c>
      <c r="G18" s="898">
        <f>SUBTOTAL(9,G15:G17)</f>
        <v>683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304</v>
      </c>
      <c r="AC18" s="899">
        <f t="shared" si="4"/>
        <v>25</v>
      </c>
      <c r="AD18" s="899">
        <f t="shared" si="4"/>
        <v>0</v>
      </c>
      <c r="AE18" s="899">
        <f t="shared" si="4"/>
        <v>0</v>
      </c>
      <c r="AF18" s="899">
        <f t="shared" si="4"/>
        <v>720</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57</v>
      </c>
      <c r="BD18" s="899">
        <f t="shared" si="4"/>
        <v>151</v>
      </c>
      <c r="BE18" s="899">
        <f t="shared" si="4"/>
        <v>0</v>
      </c>
      <c r="BF18" s="899">
        <f t="shared" si="4"/>
        <v>0</v>
      </c>
      <c r="BG18" s="899">
        <f>IF(ISNUMBER(Datos!K18/Datos!J18),Datos!K18/Datos!J18," - ")</f>
        <v>0.89411764705882357</v>
      </c>
      <c r="BH18" s="903">
        <f>IF(ISNUMBER(((Datos!L18/Datos!K18)*11)/factor_trimestre),((Datos!L18/Datos!K18)*11)/factor_trimestre," - ")</f>
        <v>7.1052631578947363</v>
      </c>
      <c r="BI18" s="899">
        <f>SUBTOTAL(9,BI15:BI17)</f>
        <v>0.38637992831541224</v>
      </c>
      <c r="BJ18" s="899">
        <f>SUBTOTAL(9,BJ15:BJ17)</f>
        <v>0</v>
      </c>
      <c r="BK18" s="899">
        <f>SUBTOTAL(9,BK15:BK17)</f>
        <v>0</v>
      </c>
      <c r="BL18" s="899">
        <f>IF(ISNUMBER((I18-AB18+L18)/(F18)),(I18-AB18+L18)/(F18)," - ")</f>
        <v>-0.49754500818330605</v>
      </c>
      <c r="BM18" s="905">
        <f>IF(ISNUMBER((Datos!P18-Datos!Q18)/(Datos!R18-Datos!P18+Datos!Q18)),(Datos!P18-Datos!Q18)/(Datos!R18-Datos!P18+Datos!Q18)," - ")</f>
        <v>0.17333333333333334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618</v>
      </c>
      <c r="G19" s="820">
        <f t="shared" si="6"/>
        <v>690</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152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304</v>
      </c>
      <c r="AC19" s="821">
        <f t="shared" si="7"/>
        <v>67</v>
      </c>
      <c r="AD19" s="821">
        <f t="shared" si="7"/>
        <v>0</v>
      </c>
      <c r="AE19" s="821">
        <f t="shared" si="7"/>
        <v>0</v>
      </c>
      <c r="AF19" s="828">
        <f t="shared" si="7"/>
        <v>728</v>
      </c>
      <c r="AG19" s="828">
        <f t="shared" si="7"/>
        <v>0</v>
      </c>
      <c r="AH19" s="828">
        <f t="shared" si="7"/>
        <v>31</v>
      </c>
      <c r="AI19" s="828">
        <f t="shared" si="7"/>
        <v>0</v>
      </c>
      <c r="AJ19" s="821">
        <f t="shared" si="7"/>
        <v>0</v>
      </c>
      <c r="AK19" s="828">
        <f t="shared" si="7"/>
        <v>0</v>
      </c>
      <c r="AL19" s="828">
        <f t="shared" si="7"/>
        <v>0</v>
      </c>
      <c r="AM19" s="828">
        <f t="shared" si="7"/>
        <v>1435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184</v>
      </c>
      <c r="BD19" s="820">
        <f t="shared" si="7"/>
        <v>373</v>
      </c>
      <c r="BE19" s="820">
        <f t="shared" si="7"/>
        <v>0</v>
      </c>
      <c r="BF19" s="830">
        <f t="shared" si="7"/>
        <v>0</v>
      </c>
      <c r="BG19" s="915">
        <f>IF(ISNUMBER(Datos!K19/Datos!J19),Datos!K19/Datos!J19," - ")</f>
        <v>0.96725440806045337</v>
      </c>
      <c r="BH19" s="915">
        <f>IF(ISNUMBER(((Datos!L19/Datos!K19)*11)/factor_trimestre),((Datos!L19/Datos!K19)*11)/factor_trimestre," - ")</f>
        <v>6.7578125</v>
      </c>
      <c r="BI19" s="813">
        <f>IF(ISNUMBER(Datos!J19/Datos!I19),Datos!J19/Datos!I19," - ")</f>
        <v>0.46623605402231355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-0.49190938511326859</v>
      </c>
      <c r="BM19" s="889">
        <f>IF(ISNUMBER((Datos!P19-Datos!Q19+R19)/(Datos!R19-Datos!P19+Datos!Q19-R19)),(Datos!P19-Datos!Q19+R19)/(Datos!R19-Datos!P19+Datos!Q19-R19)," - ")</f>
        <v>6.2962962962962957E-2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348.71956259053394</v>
      </c>
      <c r="G21" s="552">
        <f>IF(ISNUMBER(STDEV(G8:G18)),STDEV(G8:G18),"-")</f>
        <v>334.08980828513762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155.68333244120899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55.973803396469911</v>
      </c>
      <c r="BD21" s="551"/>
      <c r="BE21" s="551">
        <f>IF(ISNUMBER(STDEV(BE8:BE18)),STDEV(BE8:BE18),"-")</f>
        <v>0</v>
      </c>
      <c r="BF21" s="556">
        <f>IF(ISNUMBER(STDEV(BF8:BF18)),STDEV(BF8:BF18),"-")</f>
        <v>0</v>
      </c>
      <c r="BG21" s="775">
        <f>IF(ISNUMBER(STDEV(BG8:BG18)),STDEV(BG8:BG18),"-")</f>
        <v>0.38878524044168039</v>
      </c>
      <c r="BH21" s="776">
        <f>IF(ISNUMBER(STDEV(BH8:BH18)),STDEV(BH8:BH18),"-")</f>
        <v>1.3022437902977579</v>
      </c>
      <c r="BI21" s="249">
        <f>IF(ISNUMBER(STDEV(BI8:BI18)),STDEV(BI8:BI18),"-")</f>
        <v>9.1318252050684612E-2</v>
      </c>
      <c r="BJ21" s="230" t="str">
        <f>IF(ISNUMBER(BL21/BM21),BL21/BM21," - ")</f>
        <v xml:space="preserve"> - </v>
      </c>
      <c r="BK21" s="575"/>
      <c r="BL21" s="559">
        <f>IF(ISNUMBER(STDEV(BL8:BL18)),STDEV(BL8:BL18),"-")</f>
        <v>0.35181744923193198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vIJo050m9KpceyYpG/2M6f0OkmAbtOvWwa0aEfrWYJ/9DkU4bHFpyeh00uMLjZowkkQForQvykTVL1x/KYAjw==" saltValue="DtLN9SYIpdtmR6xOegzcq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ISLAS BALEARES</v>
      </c>
    </row>
    <row r="2" spans="1:73" ht="16.5" customHeight="1">
      <c r="C2" s="528" t="str">
        <f>Criterios!A10 &amp;"  "&amp;Criterios!B10 &amp; "  " &amp; IF(NOT(ISBLANK(Criterios!A11)),Criterios!A11 &amp;"  "&amp;Criterios!B11,"")</f>
        <v>Provincias  ILLES BALEARS  Resumenes por Partidos Judiciales  CIUTADELLA DE MENORCA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8</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v>
      </c>
      <c r="AA12" s="332" t="str">
        <f>IF(ISNUMBER(IF(J_V="SI",Datos!L12,Datos!L12+Datos!AB12)-IF(Monitorios="SI",Datos!CD12,0)),
                          IF(J_V="SI",Datos!L12,Datos!L12+Datos!AB12)-IF(Monitorios="SI",Datos!CD12,0),
                          " - ")</f>
        <v xml:space="preserve"> - </v>
      </c>
      <c r="AB12" s="334"/>
      <c r="AC12" s="334"/>
      <c r="AD12" s="484"/>
      <c r="AE12" s="484">
        <f>IF(ISNUMBER(Datos!R12),Datos!R12," - ")</f>
        <v>1347</v>
      </c>
      <c r="AF12" s="229" t="str">
        <f>IF(ISNUMBER(Datos!BV12),Datos!BV12," - ")</f>
        <v xml:space="preserve"> - </v>
      </c>
      <c r="AG12" s="225" t="str">
        <f>IF(ISNUMBER(Datos!DV12),Datos!DV12," - ")</f>
        <v xml:space="preserve"> - </v>
      </c>
      <c r="AH12" s="298"/>
      <c r="AI12" s="227"/>
      <c r="AJ12" s="225">
        <f>IF(ISNUMBER(Datos!M12),Datos!M12," - ")</f>
        <v>127</v>
      </c>
      <c r="AK12" s="229">
        <f>IF(ISNUMBER(Datos!N12),Datos!N12," - ")</f>
        <v>222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6.4697286012526094</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5.647058823529412E-2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114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42</v>
      </c>
      <c r="AA13" s="900">
        <f t="shared" si="2"/>
        <v>8</v>
      </c>
      <c r="AB13" s="900">
        <f t="shared" si="2"/>
        <v>0</v>
      </c>
      <c r="AC13" s="900">
        <f t="shared" si="2"/>
        <v>0</v>
      </c>
      <c r="AD13" s="900">
        <f t="shared" si="2"/>
        <v>0</v>
      </c>
      <c r="AE13" s="900">
        <f t="shared" si="2"/>
        <v>1347</v>
      </c>
      <c r="AF13" s="908">
        <f t="shared" si="2"/>
        <v>0</v>
      </c>
      <c r="AG13" s="908">
        <f t="shared" si="2"/>
        <v>0</v>
      </c>
      <c r="AH13" s="908">
        <f t="shared" si="2"/>
        <v>0</v>
      </c>
      <c r="AI13" s="908">
        <f t="shared" si="2"/>
        <v>0</v>
      </c>
      <c r="AJ13" s="908">
        <f t="shared" si="2"/>
        <v>127</v>
      </c>
      <c r="AK13" s="908">
        <f t="shared" si="2"/>
        <v>222</v>
      </c>
      <c r="AL13" s="908">
        <f t="shared" si="2"/>
        <v>0</v>
      </c>
      <c r="AM13" s="908">
        <f t="shared" si="2"/>
        <v>0</v>
      </c>
      <c r="AN13" s="908">
        <f t="shared" si="2"/>
        <v>0</v>
      </c>
      <c r="AO13" s="904">
        <f>IF(ISNUMBER(((NºAsuntos!I13/NºAsuntos!G13)*11)/factor_trimestre),((NºAsuntos!I13/NºAsuntos!G13)*11)/factor_trimestre," - ")</f>
        <v>6.5198329853862207</v>
      </c>
      <c r="AP13" s="910" t="str">
        <f>IF(ISNUMBER(Datos!CI13/Datos!CJ13),Datos!CI13/Datos!CJ13," - ")</f>
        <v xml:space="preserve"> - </v>
      </c>
      <c r="AQ13" s="928">
        <f t="shared" ref="AQ13:AV13" si="3">SUBTOTAL(9,AQ9:AQ12)</f>
        <v>0</v>
      </c>
      <c r="AR13" s="928">
        <f t="shared" si="3"/>
        <v>5.647058823529412E-2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611</v>
      </c>
      <c r="G16" s="225">
        <f>IF(ISNUMBER(IF(D_I="SI",Datos!I16,Datos!I16+Datos!AC16)),IF(D_I="SI",Datos!I16,Datos!I16+Datos!AC16)," - ")</f>
        <v>594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279</v>
      </c>
      <c r="Z16" s="619">
        <f>IF(ISNUMBER(Datos!Q16),Datos!Q16," - ")</f>
        <v>25</v>
      </c>
      <c r="AA16" s="332">
        <f>IF(ISNUMBER(IF(D_I="SI",Datos!L16,Datos!L16+Datos!AF16)),IF(D_I="SI",Datos!L16,Datos!L16+Datos!AF16)," - ")</f>
        <v>640</v>
      </c>
      <c r="AB16" s="334"/>
      <c r="AC16" s="334"/>
      <c r="AD16" s="484"/>
      <c r="AE16" s="484">
        <f>IF(ISNUMBER(Datos!R16),Datos!R16," - ")</f>
        <v>88</v>
      </c>
      <c r="AF16" s="229" t="str">
        <f>IF(ISNUMBER(Datos!BV16),Datos!BV16," - ")</f>
        <v xml:space="preserve"> - </v>
      </c>
      <c r="AG16" s="225"/>
      <c r="AH16" s="298"/>
      <c r="AI16" s="227"/>
      <c r="AJ16" s="225">
        <f>IF(ISNUMBER(Datos!M16),Datos!M16," - ")</f>
        <v>52</v>
      </c>
      <c r="AK16" s="229">
        <f>IF(ISNUMBER(Datos!N16),Datos!N16," - ")</f>
        <v>138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6.881720430107527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80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9.6000000000000014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611</v>
      </c>
      <c r="G18" s="898">
        <f>SUBTOTAL(9,G15:G17)</f>
        <v>683</v>
      </c>
      <c r="H18" s="932">
        <f>SUBTOTAL(9,H15:H17)</f>
        <v>0</v>
      </c>
      <c r="I18" s="911">
        <f>SUBTOTAL(9,I15:I17)</f>
        <v>0</v>
      </c>
      <c r="J18" s="867">
        <f>SUBTOTAL(9,J14:J17)</f>
        <v>0</v>
      </c>
      <c r="K18" s="932">
        <f t="shared" ref="K18:S18" si="4">SUBTOTAL(9,K15:K17)</f>
        <v>0</v>
      </c>
      <c r="L18" s="932">
        <f t="shared" si="4"/>
        <v>0</v>
      </c>
      <c r="M18" s="932">
        <f t="shared" si="4"/>
        <v>0</v>
      </c>
      <c r="N18" s="932">
        <f t="shared" si="4"/>
        <v>38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304</v>
      </c>
      <c r="Z18" s="932">
        <f t="shared" si="5"/>
        <v>25</v>
      </c>
      <c r="AA18" s="932">
        <f t="shared" si="5"/>
        <v>720</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57</v>
      </c>
      <c r="AK18" s="932">
        <f t="shared" si="5"/>
        <v>151</v>
      </c>
      <c r="AL18" s="932">
        <f t="shared" si="5"/>
        <v>0</v>
      </c>
      <c r="AM18" s="932">
        <f t="shared" si="5"/>
        <v>0</v>
      </c>
      <c r="AN18" s="932">
        <f t="shared" si="5"/>
        <v>0</v>
      </c>
      <c r="AO18" s="934">
        <f>IF(ISNUMBER(((NºAsuntos!I18/NºAsuntos!G18)*11)/factor_trimestre),((NºAsuntos!I18/NºAsuntos!G18)*11)/factor_trimestre," - ")</f>
        <v>7.1052631578947363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618</v>
      </c>
      <c r="G19" s="820">
        <f t="shared" si="7"/>
        <v>690</v>
      </c>
      <c r="H19" s="821">
        <f t="shared" si="7"/>
        <v>0</v>
      </c>
      <c r="I19" s="820">
        <f t="shared" si="7"/>
        <v>0</v>
      </c>
      <c r="J19" s="822">
        <f t="shared" si="7"/>
        <v>0</v>
      </c>
      <c r="K19" s="820">
        <f t="shared" si="7"/>
        <v>0</v>
      </c>
      <c r="L19" s="823">
        <f t="shared" si="7"/>
        <v>0</v>
      </c>
      <c r="M19" s="820">
        <f t="shared" si="7"/>
        <v>0</v>
      </c>
      <c r="N19" s="821">
        <f t="shared" si="7"/>
        <v>152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304</v>
      </c>
      <c r="Z19" s="827">
        <f t="shared" si="8"/>
        <v>67</v>
      </c>
      <c r="AA19" s="828">
        <f t="shared" si="8"/>
        <v>728</v>
      </c>
      <c r="AB19" s="828">
        <f t="shared" si="8"/>
        <v>0</v>
      </c>
      <c r="AC19" s="828">
        <f t="shared" si="8"/>
        <v>0</v>
      </c>
      <c r="AD19" s="829">
        <f t="shared" si="8"/>
        <v>0</v>
      </c>
      <c r="AE19" s="829">
        <f t="shared" si="8"/>
        <v>1435</v>
      </c>
      <c r="AF19" s="830">
        <f t="shared" si="8"/>
        <v>0</v>
      </c>
      <c r="AG19" s="831">
        <f t="shared" si="8"/>
        <v>0</v>
      </c>
      <c r="AH19" s="832">
        <f t="shared" si="8"/>
        <v>0</v>
      </c>
      <c r="AI19" s="830">
        <f t="shared" si="8"/>
        <v>0</v>
      </c>
      <c r="AJ19" s="820">
        <f t="shared" si="8"/>
        <v>184</v>
      </c>
      <c r="AK19" s="820">
        <f t="shared" si="8"/>
        <v>373</v>
      </c>
      <c r="AL19" s="820">
        <f t="shared" si="8"/>
        <v>0</v>
      </c>
      <c r="AM19" s="833">
        <f t="shared" si="8"/>
        <v>0</v>
      </c>
      <c r="AN19" s="823">
        <f>IF(ISNUMBER(Datos!K19/Datos!J19),Datos!K19/Datos!J19," - ")</f>
        <v>0.96725440806045337</v>
      </c>
      <c r="AO19" s="823">
        <f>IF(ISNUMBER(FIND("06",Criterios!A8,1)),(IF(ISNUMBER(((Datos!R19/Datos!Q19)*11)/factor_trimestre),((Datos!R19/Datos!Q19)*11)/factor_trimestre," - ")),(IF(ISNUMBER(((Datos!L19/Datos!K19)*11)/factor_trimestre),((Datos!L19/Datos!K19)*11)/factor_trimestre," - ")))</f>
        <v>6.7578125</v>
      </c>
      <c r="AP19" s="834" t="str">
        <f>IF(ISNUMBER(Datos!CI19/Datos!CJ19),Datos!CI19/Datos!CJ19," - ")</f>
        <v xml:space="preserve"> - </v>
      </c>
      <c r="AQ19" s="834">
        <f>IF(OR(ISNUMBER(FIND("01",Criterios!A8,1)),ISNUMBER(FIND("02",Criterios!A8,1)),ISNUMBER(FIND("03",Criterios!A8,1)),ISNUMBER(FIND("04",Criterios!A8,1))),(J19-Y19+K19)/(F19-K19),(I19-Y19+K19)/(F19-K19))</f>
        <v>-0.49190938511326859</v>
      </c>
      <c r="AR19" s="834">
        <f>IF(ISNUMBER((Datos!P19-Datos!Q19+O19)/(Datos!R19-Datos!P19+Datos!Q19-O19)),(Datos!P19-Datos!Q19+O19)/(Datos!R19-Datos!P19+Datos!Q19-O19)," - ")</f>
        <v>6.2962962962962957E-2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348.71956259053394</v>
      </c>
      <c r="G21" s="552">
        <f>IF(ISNUMBER(STDEV(G8:G18)),STDEV(G8:G18),"-")</f>
        <v>334.08980828513762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55.973803396469911</v>
      </c>
      <c r="AK21" s="252"/>
      <c r="AL21" s="252">
        <f>IF(ISNUMBER(STDEV(AL8:AL18)),STDEV(AL8:AL18),"-")</f>
        <v>0</v>
      </c>
      <c r="AM21" s="254">
        <f>IF(ISNUMBER(STDEV(AM8:AM18)),STDEV(AM8:AM18),"-")</f>
        <v>0</v>
      </c>
      <c r="AN21" s="539">
        <f>IF(ISNUMBER(STDEV(AN8:AN18)),STDEV(AN8:AN18),"-")</f>
        <v>0</v>
      </c>
      <c r="AO21" s="540">
        <f>IF(ISNUMBER(STDEV(AO8:AO18)),STDEV(AO8:AO18),"-")</f>
        <v>1.3038135957432442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Uohw3dM1p2GDHYS7GANCmnbHld3A4BA4wa28/1H419Lp6tNJ3V7MoVo5hThRfD7JHVANe3n7uw/D46vHudmOwQ==" saltValue="6lbZoNM4RdCMAmqwHoowG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s+oUwSF7Kfmfeu5KFu/HLYQ0H2KnhrB4Oj2inTD33NFMYUp3FIf9GtgugIBzsW71QdQvnzw1pV+fP+QZwpqaKQ==" saltValue="p8lfoj5ZDadBv/P8aIJZp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l7/ejzBlefUMc3GWNM9b8xsi7QkTyZEl5q8VJKKnU8XThncn3qXnmXZ/fuRSMrtsCsNL+Xn+88NUAs1p/2Kxw==" saltValue="Zd0pIJtKJy6sQRWBl1c6h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ISLAS BALEARES</v>
      </c>
    </row>
    <row r="2" spans="1:75" ht="16.5" customHeight="1">
      <c r="C2" s="488" t="str">
        <f>Criterios!A10 &amp;"  "&amp;Criterios!B10 &amp; "  " &amp; IF(NOT(ISBLANK(Criterios!A11)),Criterios!A11 &amp;"  "&amp;Criterios!B11,"")</f>
        <v>Provincias  ILLES BALEARS  Resumenes por Partidos Judiciales  CIUTADELLA DE MENORCA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0.26513569937369519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0.18747925096177773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Wg8RXFALoecQBqau+66XIj6QCzUTee8xWyJwWKcaLkAY6yn+PSiNqXfuWtzXQYX2Gc554/8RZsN7s8WkXGI5FQ==" saltValue="rXyPwPZ76iuU3GUHhf40u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E4wfdRK7cDTZX4ghVcmXnIT70X6iEdFACtuDEs192HNv1K4p3G4ZejweemUh12gT6iRHvzVHL9LNXVStEf5Fw==" saltValue="MJM8YHOj4j6FNBBdhiaS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ISLAS BALEARES</v>
      </c>
      <c r="C2" s="375"/>
      <c r="D2" s="375"/>
      <c r="E2" s="375"/>
      <c r="F2" s="375"/>
    </row>
    <row r="3" spans="1:14" ht="19.5">
      <c r="A3" s="390" t="s">
        <v>115</v>
      </c>
      <c r="B3" s="391" t="str">
        <f>Criterios!A10 &amp;"  "&amp;Criterios!B10</f>
        <v>Provincias  ILLES BALEARS</v>
      </c>
      <c r="D3" s="375"/>
      <c r="E3" s="375"/>
      <c r="F3" s="375"/>
    </row>
    <row r="4" spans="1:14" ht="13.5" thickBot="1">
      <c r="A4" s="375"/>
      <c r="B4" s="391" t="str">
        <f>Criterios!A11 &amp;"  "&amp;Criterios!B11</f>
        <v>Resumenes por Partidos Judiciales  CIUTADELLA DE MENORCA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7</v>
      </c>
      <c r="D10" s="404">
        <f>IF(ISNUMBER(C10/Datos!BH10),C10/Datos!BH10," - ")</f>
        <v>7</v>
      </c>
      <c r="E10" s="403">
        <f>IF(ISNUMBER(Datos!J10),Datos!J10," - ")</f>
        <v>1</v>
      </c>
      <c r="F10" s="404">
        <f>IF(ISNUMBER(E10/B10),E10/B10," - ")</f>
        <v>1</v>
      </c>
      <c r="G10" s="403">
        <f>IF(ISNUMBER(Datos!K10),Datos!K10," - ")</f>
        <v>0</v>
      </c>
      <c r="H10" s="404">
        <f>IF(ISNUMBER(G10/B10),G10/B10," - ")</f>
        <v>0</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1045</v>
      </c>
      <c r="D12" s="404">
        <f>IF(ISNUMBER(C12/Datos!BH12),C12/Datos!BH12," - ")</f>
        <v>522.5</v>
      </c>
      <c r="E12" s="403">
        <f>IF(ISNUMBER(IF(J_V="SI",Datos!J12,Datos!J12+Datos!Z12)),IF(J_V="SI",Datos!J12,Datos!J12+Datos!Z12)," - ")</f>
        <v>467</v>
      </c>
      <c r="F12" s="404">
        <f>IF(ISNUMBER(E12/B12),E12/B12," - ")</f>
        <v>233.5</v>
      </c>
      <c r="G12" s="403">
        <f>IF(ISNUMBER(IF(J_V="SI",Datos!K12,Datos!K12+Datos!AA12)),IF(J_V="SI",Datos!K12,Datos!K12+Datos!AA12)," - ")</f>
        <v>479</v>
      </c>
      <c r="H12" s="404">
        <f>IF(ISNUMBER(G12/B12),G12/B12," - ")</f>
        <v>239.5</v>
      </c>
      <c r="I12" s="403">
        <f>IF(ISNUMBER(IF(J_V="SI",Datos!L12,Datos!L12+Datos!AB12)),IF(J_V="SI",Datos!L12,Datos!L12+Datos!AB12)," - ")</f>
        <v>1033</v>
      </c>
      <c r="J12" s="404">
        <f>IF(ISNUMBER(I12/B12),I12/B12," - ")</f>
        <v>516.5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1052</v>
      </c>
      <c r="D13" s="850" t="str">
        <f>IF(ISNUMBER(C13/Datos!BI13),C13/Datos!BI13," - ")</f>
        <v xml:space="preserve"> - </v>
      </c>
      <c r="E13" s="849">
        <f>SUBTOTAL(9,E8:E12)</f>
        <v>468</v>
      </c>
      <c r="F13" s="850">
        <f>IF(ISNUMBER(E13/B13),E13/B13," - ")</f>
        <v>234</v>
      </c>
      <c r="G13" s="849">
        <f>SUBTOTAL(9,G8:G12)</f>
        <v>479</v>
      </c>
      <c r="H13" s="850">
        <f>IF(ISNUMBER(G13/B13),G13/B13," - ")</f>
        <v>239.5</v>
      </c>
      <c r="I13" s="849">
        <f>SUBTOTAL(9,I8:I12)</f>
        <v>1041</v>
      </c>
      <c r="J13" s="850">
        <f>IF(ISNUMBER(I13/B13),I13/B13," - ")</f>
        <v>520.5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594</v>
      </c>
      <c r="D16" s="404">
        <f>IF(ISNUMBER(C16/Datos!BH16),C16/Datos!BH16," - ")</f>
        <v>297</v>
      </c>
      <c r="E16" s="403">
        <f>IF(ISNUMBER(IF(D_I="SI",Datos!J16,Datos!J16+Datos!AD16)),IF(D_I="SI",Datos!J16,Datos!J16+Datos!AD16)," - ")</f>
        <v>308</v>
      </c>
      <c r="F16" s="404">
        <f>IF(ISNUMBER(E16/B16),E16/B16," - ")</f>
        <v>154</v>
      </c>
      <c r="G16" s="403">
        <f>IF(ISNUMBER(IF(D_I="SI",Datos!K16,Datos!K16+Datos!AE16)),IF(D_I="SI",Datos!K16,Datos!K16+Datos!AE16)," - ")</f>
        <v>279</v>
      </c>
      <c r="H16" s="404">
        <f>IF(ISNUMBER(G16/B16),G16/B16," - ")</f>
        <v>139.5</v>
      </c>
      <c r="I16" s="403">
        <f>IF(ISNUMBER(IF(D_I="SI",Datos!L16,Datos!L16+Datos!AF16)),IF(D_I="SI",Datos!L16,Datos!L16+Datos!AF16)," - ")</f>
        <v>640</v>
      </c>
      <c r="J16" s="404">
        <f>IF(ISNUMBER(I16/B16),I16/B16," - ")</f>
        <v>320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89</v>
      </c>
      <c r="D17" s="404">
        <f>IF(ISNUMBER(C17/Datos!BH17),C17/Datos!BH17," - ")</f>
        <v>89</v>
      </c>
      <c r="E17" s="403">
        <f>IF(ISNUMBER(IF(D_I="SI",Datos!J17,Datos!J17+Datos!AD17)),IF(D_I="SI",Datos!J17,Datos!J17+Datos!AD17)," - ")</f>
        <v>32</v>
      </c>
      <c r="F17" s="404">
        <f>IF(ISNUMBER(E17/B17),E17/B17," - ")</f>
        <v>32</v>
      </c>
      <c r="G17" s="403">
        <f>IF(ISNUMBER(IF(D_I="SI",Datos!K17,Datos!K17+Datos!AE17)),IF(D_I="SI",Datos!K17,Datos!K17+Datos!AE17)," - ")</f>
        <v>25</v>
      </c>
      <c r="H17" s="404">
        <f>IF(ISNUMBER(G17/B17),G17/B17," - ")</f>
        <v>25</v>
      </c>
      <c r="I17" s="403">
        <f>IF(ISNUMBER(IF(D_I="SI",Datos!L17,Datos!L17+Datos!AF17)),IF(D_I="SI",Datos!L17,Datos!L17+Datos!AF17)," - ")</f>
        <v>80</v>
      </c>
      <c r="J17" s="404">
        <f>IF(ISNUMBER(I17/B17),I17/B17," - ")</f>
        <v>80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683</v>
      </c>
      <c r="D18" s="850" t="str">
        <f>IF(ISNUMBER(C18/Datos!BI18),C18/Datos!BI18," - ")</f>
        <v xml:space="preserve"> - </v>
      </c>
      <c r="E18" s="849">
        <f>SUBTOTAL(9,E14:E17)</f>
        <v>340</v>
      </c>
      <c r="F18" s="850">
        <f>IF(ISNUMBER(E18/B18),E18/B18," - ")</f>
        <v>170</v>
      </c>
      <c r="G18" s="849">
        <f>SUBTOTAL(9,G14:G17)</f>
        <v>304</v>
      </c>
      <c r="H18" s="850">
        <f>IF(ISNUMBER(G18/B18),G18/B18," - ")</f>
        <v>152</v>
      </c>
      <c r="I18" s="849">
        <f>SUBTOTAL(9,I14:I17)</f>
        <v>720</v>
      </c>
      <c r="J18" s="850">
        <f>IF(ISNUMBER(I18/B18),I18/B18," - ")</f>
        <v>360</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1735</v>
      </c>
      <c r="D19" s="795" t="str">
        <f>IF(ISNUMBER(C19/Datos!BI19),C19/Datos!BI19," - ")</f>
        <v xml:space="preserve"> - </v>
      </c>
      <c r="E19" s="794">
        <f>SUBTOTAL(9,E9:E18)</f>
        <v>808</v>
      </c>
      <c r="F19" s="795">
        <f>IF(ISNUMBER(E19/B19),E19/B19," - ")</f>
        <v>404</v>
      </c>
      <c r="G19" s="794">
        <f>SUBTOTAL(9,G9:G18)</f>
        <v>783</v>
      </c>
      <c r="H19" s="795">
        <f>IF(ISNUMBER(G19/B19),G19/B19," - ")</f>
        <v>391.5</v>
      </c>
      <c r="I19" s="794">
        <f>SUBTOTAL(9,I9:I18)</f>
        <v>1761</v>
      </c>
      <c r="J19" s="795">
        <f>IF(ISNUMBER(I19/B19),I19/B19," - ")</f>
        <v>880.5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AJ6ih1wQ09WlgilZ7aLL0YqVbIGpIhxCyA+3Y9g+m90kgTdm2huawa8br11vzJzbdNcVBmUG2w2mRXqfjk6FUQ==" saltValue="8TIhxZAb+B//O4611cGZr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ISLAS BALEARES</v>
      </c>
      <c r="W1"/>
      <c r="X1"/>
    </row>
    <row r="2" spans="1:65" ht="16.5" customHeight="1">
      <c r="C2" s="488" t="str">
        <f>Criterios!A10 &amp;"  "&amp;Criterios!B10 &amp; "  " &amp; IF(NOT(ISBLANK(Criterios!A11)),Criterios!A11 &amp;"  "&amp;Criterios!B11,"")</f>
        <v>Provincias  ILLES BALEARS  Resumenes por Partidos Judiciales  CIUTADELLA DE MENORCA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127</v>
      </c>
      <c r="AM12" s="690">
        <f>IF(ISNUMBER(Datos!N12+DatosP!N16),Datos!N12+DatosP!N16," - ")</f>
        <v>222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6.4697286012526094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5.647058823529412E-2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114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42</v>
      </c>
      <c r="AE13" s="939">
        <f t="shared" si="1"/>
        <v>0</v>
      </c>
      <c r="AF13" s="939">
        <f t="shared" si="1"/>
        <v>8</v>
      </c>
      <c r="AG13" s="939">
        <f t="shared" si="1"/>
        <v>0</v>
      </c>
      <c r="AH13" s="939">
        <f t="shared" si="1"/>
        <v>1347</v>
      </c>
      <c r="AI13" s="939">
        <f t="shared" si="1"/>
        <v>0</v>
      </c>
      <c r="AJ13" s="939">
        <f t="shared" si="1"/>
        <v>0</v>
      </c>
      <c r="AK13" s="939">
        <f t="shared" si="1"/>
        <v>0</v>
      </c>
      <c r="AL13" s="939">
        <f t="shared" si="1"/>
        <v>127</v>
      </c>
      <c r="AM13" s="939">
        <f t="shared" si="1"/>
        <v>222</v>
      </c>
      <c r="AN13" s="939">
        <f t="shared" si="1"/>
        <v>0</v>
      </c>
      <c r="AO13" s="939">
        <f t="shared" si="1"/>
        <v>0</v>
      </c>
      <c r="AP13" s="944">
        <f>IF(ISNUMBER(((Datos!L13/Datos!K13)*11)/factor_trimestre),((Datos!L13/Datos!K13)*11)/factor_trimestre," - ")</f>
        <v>6.5301724137931041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5.647058823529412E-2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7.1052631578947363</v>
      </c>
      <c r="AQ18" s="944">
        <f>IF(ISNUMBER(((Datos!M18/Datos!L18)*11)/factor_trimestre),((Datos!M18/Datos!L18)*11)/factor_trimestre," - ")</f>
        <v>0.23750000000000002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0.17333333333333334</v>
      </c>
      <c r="AW18" s="946">
        <f>IF(ISNUMBER((Datos!Q18-Datos!R18)/(Datos!S18-Datos!Q18+Datos!R18)),(Datos!Q18-Datos!R18)/(Datos!S18-Datos!Q18+Datos!R18)," - ")</f>
        <v>-0.10918544194107452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114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42</v>
      </c>
      <c r="AE19" s="957">
        <f t="shared" si="5"/>
        <v>0</v>
      </c>
      <c r="AF19" s="958">
        <f t="shared" si="5"/>
        <v>8</v>
      </c>
      <c r="AG19" s="958">
        <f t="shared" si="5"/>
        <v>0</v>
      </c>
      <c r="AH19" s="958">
        <f t="shared" si="5"/>
        <v>1347</v>
      </c>
      <c r="AI19" s="958">
        <f t="shared" si="5"/>
        <v>0</v>
      </c>
      <c r="AJ19" s="959">
        <f t="shared" si="5"/>
        <v>0</v>
      </c>
      <c r="AK19" s="959">
        <f t="shared" si="5"/>
        <v>0</v>
      </c>
      <c r="AL19" s="951">
        <f t="shared" si="5"/>
        <v>127</v>
      </c>
      <c r="AM19" s="951">
        <f t="shared" si="5"/>
        <v>222</v>
      </c>
      <c r="AN19" s="951">
        <f t="shared" si="5"/>
        <v>0</v>
      </c>
      <c r="AO19" s="951">
        <f t="shared" si="5"/>
        <v>0</v>
      </c>
      <c r="AP19" s="951">
        <f>IF(ISNUMBER(((Datos!L19/Datos!K19)*11)/factor_trimestre),((Datos!L19/Datos!K19)*11)/factor_trimestre," - ")</f>
        <v>6.7578125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6.2962962962962957E-2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73.323484187082471</v>
      </c>
      <c r="AM21" s="736"/>
      <c r="AN21" s="736">
        <f>IF(ISNUMBER(STDEV(AN8:AN18)),STDEV(AN8:AN18),"-")</f>
        <v>0</v>
      </c>
      <c r="AO21" s="742">
        <f>IF(ISNUMBER(STDEV(AO8:AO18)),STDEV(AO8:AO18),"-")</f>
        <v>0</v>
      </c>
      <c r="AP21" s="779">
        <f>IF(ISNUMBER(STDEV(AP8:AP18)),STDEV(AP8:AP18),"-")</f>
        <v>0.35078174389785077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05sWLm+IpH4avtaaK2IvLaPl+jeHefzzVsmhjTIr+56UiW+FTc8EUesx6fOgVwu6XTbZLjAoOb23mZnp32QL2g==" saltValue="DZQunLDDb/Brwl3TDYKhz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CIUTADELLA DE MENORCA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99OuagHAeR+rKRszkdQ5v92zlrNH3JcP5c6Ks0aHqcGxzk+5gDcAJiLCjHCNJcv2bA/2u+2Go8UPrD+yCISzVQ==" saltValue="2R7bgJ+lWuy49uFGBMtIn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ISLAS BALEARES</v>
      </c>
      <c r="C2" s="391"/>
    </row>
    <row r="3" spans="1:9" ht="19.5">
      <c r="A3" s="425" t="s">
        <v>11</v>
      </c>
      <c r="B3" s="391" t="str">
        <f>Criterios!A10 &amp;"  "&amp;Criterios!B10</f>
        <v>Provincias  ILLES BALEARS</v>
      </c>
      <c r="C3" s="391"/>
      <c r="D3" s="425"/>
    </row>
    <row r="4" spans="1:9" ht="13.5" thickBot="1">
      <c r="B4" s="391" t="str">
        <f>Criterios!A11 &amp;"  "&amp;Criterios!B11</f>
        <v>Resumenes por Partidos Judiciales  CIUTADELLA DE MENORCA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127</v>
      </c>
      <c r="E12" s="404">
        <f t="shared" si="0"/>
        <v>63.5</v>
      </c>
      <c r="F12" s="403">
        <f>IF(ISNUMBER(Datos!N12),Datos!N12," - ")</f>
        <v>222</v>
      </c>
      <c r="G12" s="404">
        <f t="shared" si="1"/>
        <v>111</v>
      </c>
      <c r="H12" s="403">
        <f>IF(ISNUMBER(Datos!O12),Datos!O12," - ")</f>
        <v>168</v>
      </c>
      <c r="I12" s="404">
        <f t="shared" si="2"/>
        <v>84</v>
      </c>
    </row>
    <row r="13" spans="1:9" ht="14.25" thickTop="1" thickBot="1">
      <c r="A13" s="848" t="str">
        <f>Datos!A13</f>
        <v>TOTAL</v>
      </c>
      <c r="B13" s="849">
        <f>Datos!AO13</f>
        <v>3</v>
      </c>
      <c r="C13" s="851">
        <f>Datos!AR13</f>
        <v>2</v>
      </c>
      <c r="D13" s="849">
        <f>SUBTOTAL(9,D9:D12)</f>
        <v>127</v>
      </c>
      <c r="E13" s="850">
        <f t="shared" si="0"/>
        <v>42.333333333333336</v>
      </c>
      <c r="F13" s="849">
        <f>SUBTOTAL(9,F9:F12)</f>
        <v>222</v>
      </c>
      <c r="G13" s="850">
        <f t="shared" si="1"/>
        <v>74</v>
      </c>
      <c r="H13" s="849">
        <f>SUBTOTAL(9,H9:H12)</f>
        <v>168</v>
      </c>
      <c r="I13" s="850">
        <f>IF(ISNUMBER(H13/B13),H13/B13," - ")</f>
        <v>56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52</v>
      </c>
      <c r="E16" s="404">
        <f t="shared" si="3"/>
        <v>26</v>
      </c>
      <c r="F16" s="403">
        <f>IF(ISNUMBER(Datos!N16),Datos!N16," - ")</f>
        <v>138</v>
      </c>
      <c r="G16" s="404">
        <f t="shared" si="4"/>
        <v>69</v>
      </c>
      <c r="H16" s="403">
        <f>IF(ISNUMBER(Datos!O16),Datos!O16," - ")</f>
        <v>12</v>
      </c>
      <c r="I16" s="404">
        <f t="shared" si="5"/>
        <v>6</v>
      </c>
    </row>
    <row r="17" spans="1:9" ht="13.5" thickBot="1">
      <c r="A17" s="402" t="str">
        <f>Datos!A17</f>
        <v>Jdos. Violencia contra la mujer</v>
      </c>
      <c r="B17" s="427">
        <f>Datos!AO17</f>
        <v>1</v>
      </c>
      <c r="C17" s="428">
        <f>Datos!AQ17</f>
        <v>0</v>
      </c>
      <c r="D17" s="403">
        <f>IF(ISNUMBER(Datos!M17),Datos!M17," - ")</f>
        <v>5</v>
      </c>
      <c r="E17" s="404">
        <f>IF(ISNUMBER(D17/B17),D17/B17," - ")</f>
        <v>5</v>
      </c>
      <c r="F17" s="403">
        <f>IF(ISNUMBER(Datos!N17),Datos!N17," - ")</f>
        <v>13</v>
      </c>
      <c r="G17" s="404">
        <f>IF(ISNUMBER(F17/B17),F17/B17," - ")</f>
        <v>13</v>
      </c>
      <c r="H17" s="403">
        <f>IF(ISNUMBER(Datos!O17),Datos!O17," - ")</f>
        <v>0</v>
      </c>
      <c r="I17" s="404">
        <f t="shared" si="5"/>
        <v>0</v>
      </c>
    </row>
    <row r="18" spans="1:9" ht="14.25" thickTop="1" thickBot="1">
      <c r="A18" s="848" t="str">
        <f>Datos!A18</f>
        <v>TOTAL</v>
      </c>
      <c r="B18" s="849">
        <f>Datos!AO18</f>
        <v>3</v>
      </c>
      <c r="C18" s="851">
        <f>Datos!AR18</f>
        <v>2</v>
      </c>
      <c r="D18" s="849">
        <f>SUBTOTAL(9,D15:D17)</f>
        <v>57</v>
      </c>
      <c r="E18" s="850">
        <f t="shared" si="3"/>
        <v>19</v>
      </c>
      <c r="F18" s="849">
        <f>SUBTOTAL(9,F15:F17)</f>
        <v>151</v>
      </c>
      <c r="G18" s="850">
        <f t="shared" si="4"/>
        <v>50.333333333333336</v>
      </c>
      <c r="H18" s="849">
        <f>SUBTOTAL(9,H15:H17)</f>
        <v>12</v>
      </c>
      <c r="I18" s="850">
        <f>IF(ISNUMBER(H18/B18),H18/B18," - ")</f>
        <v>4</v>
      </c>
    </row>
    <row r="19" spans="1:9" ht="14.25" thickTop="1" thickBot="1">
      <c r="A19" s="793" t="str">
        <f>Datos!A19</f>
        <v>TOTAL JURISDICCIONES</v>
      </c>
      <c r="B19" s="794">
        <f>Datos!AP19</f>
        <v>2</v>
      </c>
      <c r="C19" s="794">
        <f>Datos!AR19</f>
        <v>2</v>
      </c>
      <c r="D19" s="794">
        <f>SUBTOTAL(9,D8:D18)</f>
        <v>184</v>
      </c>
      <c r="E19" s="795">
        <f>IF(ISNUMBER(D19/B19),D19/B19," - ")</f>
        <v>92</v>
      </c>
      <c r="F19" s="794">
        <f>SUBTOTAL(9,F8:F18)</f>
        <v>373</v>
      </c>
      <c r="G19" s="795">
        <f>IF(ISNUMBER(F19/B19),F19/B19," - ")</f>
        <v>186.5</v>
      </c>
      <c r="H19" s="794">
        <f>SUBTOTAL(9,H8:H18)</f>
        <v>180</v>
      </c>
      <c r="I19" s="795">
        <f>IF(ISNUMBER(H19/B19),H19/B19," - ")</f>
        <v>90</v>
      </c>
    </row>
    <row r="22" spans="1:9">
      <c r="A22" s="391" t="str">
        <f>Criterios!A4</f>
        <v>Fecha Informe: 29 may. 2024</v>
      </c>
    </row>
    <row r="27" spans="1:9">
      <c r="A27" s="414"/>
    </row>
  </sheetData>
  <sheetProtection algorithmName="SHA-512" hashValue="m4A/2LQjZm0nhvGmYE4GEBlsjO0yxRMVN9isFp6xL7HFy4p6e9oUjTIcogwlWbka2tul/9t7q+Mp6/Tb/rEtww==" saltValue="WNL4u5u5V8042pQ/ISmi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CIUTADELLA DE MENORCA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114</v>
      </c>
      <c r="C12" s="434">
        <f>IF(ISNUMBER(Datos!Q12),Datos!Q12," - ")</f>
        <v>42</v>
      </c>
      <c r="D12" s="408">
        <f>IF(ISNUMBER(Datos!R12),Datos!R12," - ")</f>
        <v>1347</v>
      </c>
    </row>
    <row r="13" spans="1:4" ht="14.25" thickTop="1" thickBot="1">
      <c r="A13" s="848" t="str">
        <f>Datos!A13</f>
        <v>TOTAL</v>
      </c>
      <c r="B13" s="849">
        <f>SUBTOTAL(9,B9:B12)</f>
        <v>114</v>
      </c>
      <c r="C13" s="853">
        <f>SUBTOTAL(9,C9:C12)</f>
        <v>42</v>
      </c>
      <c r="D13" s="851">
        <f>SUBTOTAL(9,D9:D12)</f>
        <v>1347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38</v>
      </c>
      <c r="C16" s="434">
        <f>IF(ISNUMBER(Datos!Q16),Datos!Q16," - ")</f>
        <v>25</v>
      </c>
      <c r="D16" s="408">
        <f>IF(ISNUMBER(Datos!R16),Datos!R16," - ")</f>
        <v>88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38</v>
      </c>
      <c r="C18" s="853">
        <f>SUBTOTAL(9,C15:C17)</f>
        <v>25</v>
      </c>
      <c r="D18" s="851">
        <f>SUBTOTAL(9,D15:D17)</f>
        <v>88</v>
      </c>
    </row>
    <row r="19" spans="1:4" ht="16.5" customHeight="1" thickTop="1" thickBot="1">
      <c r="A19" s="793" t="str">
        <f>Datos!A19</f>
        <v>TOTAL JURISDICCIONES</v>
      </c>
      <c r="B19" s="798">
        <f>SUBTOTAL(9,B8:B18)</f>
        <v>152</v>
      </c>
      <c r="C19" s="799">
        <f>SUBTOTAL(9,C8:C18)</f>
        <v>67</v>
      </c>
      <c r="D19" s="800">
        <f>SUBTOTAL(9,D8:D18)</f>
        <v>1435</v>
      </c>
    </row>
    <row r="20" spans="1:4" ht="7.5" customHeight="1"/>
    <row r="21" spans="1:4" ht="6" customHeight="1"/>
    <row r="22" spans="1:4">
      <c r="A22" s="391" t="str">
        <f>Criterios!A4</f>
        <v>Fecha Informe: 29 may. 2024</v>
      </c>
    </row>
    <row r="27" spans="1:4">
      <c r="A27" s="414"/>
    </row>
  </sheetData>
  <sheetProtection algorithmName="SHA-512" hashValue="zP3knq7otMZU+LMfL36TBPIEPjRec7/toI9MtOwhnBEL9Ikx9mx+Jxc0Q/E2Lj4Q5kyNpFAuT5rEyv1J7EbbfA==" saltValue="KuSeR+W3Xdax3IM26xQh2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CIUTADELLA DE MENORCA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v>
      </c>
      <c r="C10" s="456">
        <f>IF(ISNUMBER((Datos!J10-Datos!T10)/Datos!T10),(Datos!J10-Datos!T10)/Datos!T10," - ")</f>
        <v>-0.66666666666666663</v>
      </c>
      <c r="D10" s="456">
        <f>IF(ISNUMBER((Datos!K10-Datos!U10)/Datos!U10),(Datos!K10-Datos!U10)/Datos!U10," - ")</f>
        <v>-1</v>
      </c>
      <c r="E10" s="456">
        <f>IF(ISNUMBER((Datos!L10-Datos!V10)/Datos!V10),(Datos!L10-Datos!V10)/Datos!V10," - ")</f>
        <v>-0.27272727272727271</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0.26360338573155984</v>
      </c>
      <c r="C12" s="456">
        <f>IF(ISNUMBER(
   IF(J_V="SI",(Datos!J12-Datos!T12)/Datos!T12,(Datos!J12+Datos!Z12-(Datos!T12+Datos!AH12))/(Datos!T12+Datos!AH12))
     ),IF(J_V="SI",(Datos!J12-Datos!T12)/Datos!T12,(Datos!J12+Datos!Z12-(Datos!T12+Datos!AH12))/(Datos!T12+Datos!AH12))," - ")</f>
        <v>0.20671834625322996</v>
      </c>
      <c r="D12" s="456">
        <f>IF(ISNUMBER(
   IF(J_V="SI",(Datos!K12-Datos!U12)/Datos!U12,(Datos!K12+Datos!AA12-(Datos!U12+Datos!AI12))/(Datos!U12+Datos!AI12))
     ),IF(J_V="SI",(Datos!K12-Datos!U12)/Datos!U12,(Datos!K12+Datos!AA12-(Datos!U12+Datos!AI12))/(Datos!U12+Datos!AI12))," - ")</f>
        <v>0.24739583333333334</v>
      </c>
      <c r="E12" s="456">
        <f>IF(ISNUMBER(
   IF(J_V="SI",(Datos!L12-Datos!V12)/Datos!V12,(Datos!L12+Datos!AB12-(Datos!V12+Datos!AJ12))/(Datos!V12+Datos!AJ12))
     ),IF(J_V="SI",(Datos!L12-Datos!V12)/Datos!V12,(Datos!L12+Datos!AB12-(Datos!V12+Datos!AJ12))/(Datos!V12+Datos!AJ12))," - ")</f>
        <v>0.24457831325301205</v>
      </c>
      <c r="F12" s="456">
        <f>IF(ISNUMBER((Datos!M12-Datos!W12)/Datos!W12),(Datos!M12-Datos!W12)/Datos!W12," - ")</f>
        <v>0.51190476190476186</v>
      </c>
      <c r="G12" s="457">
        <f>IF(ISNUMBER((Datos!N12-Datos!X12)/Datos!X12),(Datos!N12-Datos!X12)/Datos!X12," - ")</f>
        <v>0.2982456140350877</v>
      </c>
      <c r="H12" s="455">
        <f>IF(ISNUMBER(((NºAsuntos!G12/NºAsuntos!E12)-Datos!BD12)/Datos!BD12),((NºAsuntos!G12/NºAsuntos!E12)-Datos!BD12)/Datos!BD12," - ")</f>
        <v>3.3709180942184142E-2</v>
      </c>
      <c r="I12" s="456">
        <f>IF(ISNUMBER(((NºAsuntos!I12/NºAsuntos!G12)-Datos!BE12)/Datos!BE12),((NºAsuntos!I12/NºAsuntos!G12)-Datos!BE12)/Datos!BE12," - ")</f>
        <v>-2.258721734537345E-3</v>
      </c>
      <c r="J12" s="461">
        <f>IF(ISNUMBER((('Resol  Asuntos'!D12/NºAsuntos!G12)-Datos!BF12)/Datos!BF12),(('Resol  Asuntos'!D12/NºAsuntos!G12)-Datos!BF12)/Datos!BF12," - ")</f>
        <v>-0.40460755228363188</v>
      </c>
      <c r="K12" s="462">
        <f>IF(ISNUMBER((((NºAsuntos!C12+NºAsuntos!E12)/NºAsuntos!G12)-Datos!BG12)/Datos!BG12),(((NºAsuntos!C12+NºAsuntos!E12)/NºAsuntos!G12)-Datos!BG12)/Datos!BG12," - ")</f>
        <v>-1.5442660952767681E-3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0.25686977299880526</v>
      </c>
      <c r="C13" s="855">
        <f>IF(ISNUMBER(
   IF(J_V="SI",(Datos!J13-Datos!T13)/Datos!T13,(Datos!J13+Datos!Z13-(Datos!T13+Datos!AH13))/(Datos!T13+Datos!AH13))
     ),IF(J_V="SI",(Datos!J13-Datos!T13)/Datos!T13,(Datos!J13+Datos!Z13-(Datos!T13+Datos!AH13))/(Datos!T13+Datos!AH13))," - ")</f>
        <v>0.2</v>
      </c>
      <c r="D13" s="855">
        <f>IF(ISNUMBER(
   IF(J_V="SI",(Datos!K13-Datos!U13)/Datos!U13,(Datos!K13+Datos!AA13-(Datos!U13+Datos!AI13))/(Datos!U13+Datos!AI13))
     ),IF(J_V="SI",(Datos!K13-Datos!U13)/Datos!U13,(Datos!K13+Datos!AA13-(Datos!U13+Datos!AI13))/(Datos!U13+Datos!AI13))," - ")</f>
        <v>0.24093264248704663</v>
      </c>
      <c r="E13" s="855">
        <f>IF(ISNUMBER(
   IF(J_V="SI",(Datos!L13-Datos!V13)/Datos!V13,(Datos!L13+Datos!AB13-(Datos!V13+Datos!AJ13))/(Datos!V13+Datos!AJ13))
     ),IF(J_V="SI",(Datos!L13-Datos!V13)/Datos!V13,(Datos!L13+Datos!AB13-(Datos!V13+Datos!AJ13))/(Datos!V13+Datos!AJ13))," - ")</f>
        <v>0.23781212841854935</v>
      </c>
      <c r="F13" s="856">
        <f>IF(ISNUMBER((Datos!M13-Datos!W13)/Datos!W13),(Datos!M13-Datos!W13)/Datos!W13," - ")</f>
        <v>0.49411764705882355</v>
      </c>
      <c r="G13" s="857">
        <f>IF(ISNUMBER((Datos!N13-Datos!X13)/Datos!X13),(Datos!N13-Datos!X13)/Datos!X13," - ")</f>
        <v>0.29069767441860467</v>
      </c>
      <c r="H13" s="857">
        <f>IF(ISNUMBER(((NºAsuntos!G13/NºAsuntos!E13)-Datos!BD13)/Datos!BD13),((NºAsuntos!G13/NºAsuntos!E13)-Datos!BD13)/Datos!BD13," - ")</f>
        <v>3.4110535405872069E-2</v>
      </c>
      <c r="I13" s="857">
        <f>IF(ISNUMBER(((NºAsuntos!I13/NºAsuntos!G13)-Datos!BE13)/Datos!BE13),((NºAsuntos!I13/NºAsuntos!G13)-Datos!BE13)/Datos!BE13," - ")</f>
        <v>-2.5146522556158788E-3</v>
      </c>
      <c r="J13" s="857">
        <f>IF(ISNUMBER((('Resol  Asuntos'!D13/NºAsuntos!G13)-Datos!BF13)/Datos!BF13),(('Resol  Asuntos'!D13/NºAsuntos!G13)-Datos!BF13)/Datos!BF13," - ")</f>
        <v>-0.40498616303345147</v>
      </c>
      <c r="K13" s="857">
        <f>IF(ISNUMBER((((NºAsuntos!C13+NºAsuntos!E13)/NºAsuntos!G13)-Datos!BG13)/Datos!BG13),(((NºAsuntos!C13+NºAsuntos!E13)/NºAsuntos!G13)-Datos!BG13)/Datos!BG13," - ")</f>
        <v>-1.723571757924168E-3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0.31125827814569534</v>
      </c>
      <c r="C16" s="456">
        <f>IF(ISNUMBER(
   IF(D_I="SI",(Datos!J16-Datos!T16)/Datos!T16,(Datos!J16+Datos!AD16-(Datos!T16+Datos!AL16))/(Datos!T16+Datos!AL16))
     ),IF(D_I="SI",(Datos!J16-Datos!T16)/Datos!T16,(Datos!J16+Datos!AD16-(Datos!T16+Datos!AL16))/(Datos!T16+Datos!AL16))," - ")</f>
        <v>4.0540540540540543E-2</v>
      </c>
      <c r="D16" s="456">
        <f>IF(ISNUMBER(
   IF(D_I="SI",(Datos!K16-Datos!U16)/Datos!U16,(Datos!K16+Datos!AE16-(Datos!U16+Datos!AM16))/(Datos!U16+Datos!AM16))
     ),IF(D_I="SI",(Datos!K16-Datos!U16)/Datos!U16,(Datos!K16+Datos!AE16-(Datos!U16+Datos!AM16))/(Datos!U16+Datos!AM16))," - ")</f>
        <v>-2.7874564459930314E-2</v>
      </c>
      <c r="E16" s="456">
        <f>IF(ISNUMBER(
   IF(D_I="SI",(Datos!L16-Datos!V16)/Datos!V16,(Datos!L16+Datos!AF16-(Datos!V16+Datos!AN16))/(Datos!V16+Datos!AN16))
     ),IF(D_I="SI",(Datos!L16-Datos!V16)/Datos!V16,(Datos!L16+Datos!AF16-(Datos!V16+Datos!AN16))/(Datos!V16+Datos!AN16))," - ")</f>
        <v>0.54589371980676327</v>
      </c>
      <c r="F16" s="456">
        <f>IF(ISNUMBER((Datos!M16-Datos!W16)/Datos!W16),(Datos!M16-Datos!W16)/Datos!W16," - ")</f>
        <v>-0.26760563380281688</v>
      </c>
      <c r="G16" s="457">
        <f>IF(ISNUMBER((Datos!N16-Datos!X16)/Datos!X16),(Datos!N16-Datos!X16)/Datos!X16," - ")</f>
        <v>-0.1038961038961039</v>
      </c>
      <c r="H16" s="455">
        <f>IF(ISNUMBER(((NºAsuntos!G16/NºAsuntos!E16)-Datos!BD16)/Datos!BD16),((NºAsuntos!G16/NºAsuntos!E16)-Datos!BD16)/Datos!BD16," - ")</f>
        <v>-6.5749581429023915E-2</v>
      </c>
      <c r="I16" s="456">
        <f>IF(ISNUMBER(((NºAsuntos!I16/NºAsuntos!G16)-Datos!BE16)/Datos!BE16),((NºAsuntos!I16/NºAsuntos!G16)-Datos!BE16)/Datos!BE16," - ")</f>
        <v>0.590220421449968</v>
      </c>
      <c r="J16" s="461">
        <f>IF(ISNUMBER((('Resol  Asuntos'!D16/NºAsuntos!G16)-Datos!BF16)/Datos!BF16),(('Resol  Asuntos'!D16/NºAsuntos!G16)-Datos!BF16)/Datos!BF16," - ")</f>
        <v>-0.24660507849967181</v>
      </c>
      <c r="K16" s="462">
        <f>IF(ISNUMBER((((NºAsuntos!C16+NºAsuntos!E16)/NºAsuntos!G16)-Datos!BG16)/Datos!BG16),(((NºAsuntos!C16+NºAsuntos!E16)/NºAsuntos!G16)-Datos!BG16)/Datos!BG16," - ")</f>
        <v>0.23880347033798946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0.45901639344262296</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-0.16666666666666666</v>
      </c>
      <c r="E17" s="456">
        <f>IF(ISNUMBER(
   IF(D_I="SI",(Datos!L17-Datos!V17)/Datos!V17,(Datos!L17+Datos!AF17-(Datos!V17+Datos!AN17))/(Datos!V17+Datos!AN17))
     ),IF(D_I="SI",(Datos!L17-Datos!V17)/Datos!V17,(Datos!L17+Datos!AF17-(Datos!V17+Datos!AN17))/(Datos!V17+Datos!AN17))," - ")</f>
        <v>0.26984126984126983</v>
      </c>
      <c r="F17" s="456">
        <f>IF(ISNUMBER((Datos!M17-Datos!W17)/Datos!W17),(Datos!M17-Datos!W17)/Datos!W17," - ")</f>
        <v>0.66666666666666663</v>
      </c>
      <c r="G17" s="457">
        <f>IF(ISNUMBER((Datos!N17-Datos!X17)/Datos!X17),(Datos!N17-Datos!X17)/Datos!X17," - ")</f>
        <v>-0.1875</v>
      </c>
      <c r="H17" s="455">
        <f>IF(ISNUMBER(((NºAsuntos!G17/NºAsuntos!E17)-Datos!BD17)/Datos!BD17),((NºAsuntos!G17/NºAsuntos!E17)-Datos!BD17)/Datos!BD17," - ")</f>
        <v>-0.16666666666666666</v>
      </c>
      <c r="I17" s="456">
        <f>IF(ISNUMBER(((NºAsuntos!I17/NºAsuntos!G17)-Datos!BE17)/Datos!BE17),((NºAsuntos!I17/NºAsuntos!G17)-Datos!BE17)/Datos!BE17," - ")</f>
        <v>0.52380952380952384</v>
      </c>
      <c r="J17" s="461">
        <f>IF(ISNUMBER((('Resol  Asuntos'!D17/NºAsuntos!G17)-Datos!BF17)/Datos!BF17),(('Resol  Asuntos'!D17/NºAsuntos!G17)-Datos!BF17)/Datos!BF17," - ")</f>
        <v>1</v>
      </c>
      <c r="K17" s="462">
        <f>IF(ISNUMBER((((NºAsuntos!C17+NºAsuntos!E17)/NºAsuntos!G17)-Datos!BG17)/Datos!BG17),(((NºAsuntos!C17+NºAsuntos!E17)/NºAsuntos!G17)-Datos!BG17)/Datos!BG17," - ")</f>
        <v>0.56129032258064504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0.32879377431906615</v>
      </c>
      <c r="C18" s="855">
        <f>IF(ISNUMBER(
   IF(Criterios!B14="SI",(Datos!J18-Datos!T18)/Datos!T18,(Datos!J18+Datos!AD18-(Datos!T18+Datos!AL18))/(Datos!T18+Datos!AL18))
     ),IF(Criterios!B14="SI",(Datos!J18-Datos!T18)/Datos!T18,(Datos!J18+Datos!AD18-(Datos!T18+Datos!AL18))/(Datos!T18+Datos!AL18))," - ")</f>
        <v>3.6585365853658534E-2</v>
      </c>
      <c r="D18" s="855">
        <f>IF(ISNUMBER(
   IF(Criterios!B14="SI",(Datos!K18-Datos!U18)/Datos!U18,(Datos!K18+Datos!AE18-(Datos!U18+Datos!AM18))/(Datos!U18+Datos!AM18))
     ),IF(Criterios!B14="SI",(Datos!K18-Datos!U18)/Datos!U18,(Datos!K18+Datos!AE18-(Datos!U18+Datos!AM18))/(Datos!U18+Datos!AM18))," - ")</f>
        <v>-4.1009463722397478E-2</v>
      </c>
      <c r="E18" s="855">
        <f>IF(ISNUMBER(
   IF(Criterios!B14="SI",(Datos!L18-Datos!V18)/Datos!V18,(Datos!L18+Datos!AF18-(Datos!V18+Datos!AN18))/(Datos!V18+Datos!AN18))
     ),IF(Criterios!B14="SI",(Datos!L18-Datos!V18)/Datos!V18,(Datos!L18+Datos!AF18-(Datos!V18+Datos!AN18))/(Datos!V18+Datos!AN18))," - ")</f>
        <v>0.50943396226415094</v>
      </c>
      <c r="F18" s="856">
        <f>IF(ISNUMBER((Datos!M18-Datos!W18)/Datos!W18),(Datos!M18-Datos!W18)/Datos!W18," - ")</f>
        <v>-0.22972972972972974</v>
      </c>
      <c r="G18" s="857">
        <f>IF(ISNUMBER((Datos!N18-Datos!X18)/Datos!X18),(Datos!N18-Datos!X18)/Datos!X18," - ")</f>
        <v>-0.11176470588235295</v>
      </c>
      <c r="H18" s="857">
        <f>IF(ISNUMBER(((NºAsuntos!G18/NºAsuntos!E18)-Datos!BD18)/Datos!BD18),((NºAsuntos!G18/NºAsuntos!E18)-Datos!BD18)/Datos!BD18," - ")</f>
        <v>-7.4856188532195139E-2</v>
      </c>
      <c r="I18" s="857">
        <f>IF(ISNUMBER(((NºAsuntos!I18/NºAsuntos!G18)-Datos!BE18)/Datos!BE18),((NºAsuntos!I18/NºAsuntos!G18)-Datos!BE18)/Datos!BE18," - ")</f>
        <v>0.57398212512413094</v>
      </c>
      <c r="J18" s="857">
        <f>IF(ISNUMBER((('Resol  Asuntos'!D18/NºAsuntos!G18)-Datos!BF18)/Datos!BF18),(('Resol  Asuntos'!D18/NºAsuntos!G18)-Datos!BF18)/Datos!BF18," - ")</f>
        <v>-0.19679054054054052</v>
      </c>
      <c r="K18" s="857">
        <f>IF(ISNUMBER((((NºAsuntos!C18+NºAsuntos!E18)/NºAsuntos!G18)-Datos!BG18)/Datos!BG18),(((NºAsuntos!C18+NºAsuntos!E18)/NºAsuntos!G18)-Datos!BG18)/Datos!BG18," - ")</f>
        <v>0.26692008376047016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0.28423390081421168</v>
      </c>
      <c r="C19" s="802">
        <f>IF(ISNUMBER(
   IF(J_V="SI",(Datos!J19-Datos!T19)/Datos!T19,(Datos!J19+Datos!Z19-(Datos!T19+Datos!AH19))/(Datos!T19+Datos!AH19))
     ),IF(J_V="SI",(Datos!J19-Datos!T19)/Datos!T19,(Datos!J19+Datos!Z19-(Datos!T19+Datos!AH19))/(Datos!T19+Datos!AH19))," - ")</f>
        <v>0.12534818941504178</v>
      </c>
      <c r="D19" s="802">
        <f>IF(ISNUMBER(
   IF(J_V="SI",(Datos!K19-Datos!U19)/Datos!U19,(Datos!K19+Datos!AA19-(Datos!U19+Datos!AI19))/(Datos!U19+Datos!AI19))
     ),IF(J_V="SI",(Datos!K19-Datos!U19)/Datos!U19,(Datos!K19+Datos!AA19-(Datos!U19+Datos!AI19))/(Datos!U19+Datos!AI19))," - ")</f>
        <v>0.11379800853485064</v>
      </c>
      <c r="E19" s="802">
        <f>IF(ISNUMBER(
   IF(J_V="SI",(Datos!L19-Datos!V19)/Datos!V19,(Datos!L19+Datos!AB19-(Datos!V19+Datos!AJ19))/(Datos!V19+Datos!AJ19))
     ),IF(J_V="SI",(Datos!L19-Datos!V19)/Datos!V19,(Datos!L19+Datos!AB19-(Datos!V19+Datos!AJ19))/(Datos!V19+Datos!AJ19))," - ")</f>
        <v>0.33611532625189683</v>
      </c>
      <c r="F19" s="803">
        <f>IF(ISNUMBER((Datos!M19-Datos!W19)/Datos!W19),(Datos!M19-Datos!W19)/Datos!W19," - ")</f>
        <v>0.15723270440251572</v>
      </c>
      <c r="G19" s="804">
        <f>IF(ISNUMBER((Datos!N19-Datos!X19)/Datos!X19),(Datos!N19-Datos!X19)/Datos!X19," - ")</f>
        <v>9.0643274853801165E-2</v>
      </c>
      <c r="H19" s="805">
        <f>IF(ISNUMBER((Tasas!B19-Datos!BD19)/Datos!BD19),(Tasas!B19-Datos!BD19)/Datos!BD19," - ")</f>
        <v>-1.0263650831655011E-2</v>
      </c>
      <c r="I19" s="806">
        <f>IF(ISNUMBER((Tasas!C19-Datos!BE19)/Datos!BE19),(Tasas!C19-Datos!BE19)/Datos!BE19," - ")</f>
        <v>0.19960290466805039</v>
      </c>
      <c r="J19" s="807">
        <f>IF(ISNUMBER((Tasas!D19-Datos!BF19)/Datos!BF19),(Tasas!D19-Datos!BF19)/Datos!BF19," - ")</f>
        <v>-0.32845320790372662</v>
      </c>
      <c r="K19" s="807">
        <f>IF(ISNUMBER((Tasas!E19-Datos!BG19)/Datos!BG19),(Tasas!E19-Datos!BG19)/Datos!BG19," - ")</f>
        <v>0.10351802778595663</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pnU2cNq8uK1cRcpOANRdAiI5TJ87x+VDROiSVm+LeMW9N4ihhhbioz15Nya4JYIzOwIdONpO+xOY/DTveQw==" saltValue="Pw6WwW5YauNlfpWzx1to4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CIUTADELLA DE MENORCA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1.025695931477516</v>
      </c>
      <c r="C12" s="443">
        <f>IF(ISNUMBER(NºAsuntos!I12/NºAsuntos!G12),NºAsuntos!I12/NºAsuntos!G12," - ")</f>
        <v>2.1565762004175366</v>
      </c>
      <c r="D12" s="444">
        <f>IF(ISNUMBER('Resol  Asuntos'!D12/NºAsuntos!G12),'Resol  Asuntos'!D12/NºAsuntos!G12," - ")</f>
        <v>0.26513569937369519</v>
      </c>
      <c r="E12" s="445">
        <f>IF(ISNUMBER((NºAsuntos!C12+NºAsuntos!E12)/NºAsuntos!G12),(NºAsuntos!C12+NºAsuntos!E12)/NºAsuntos!G12," - ")</f>
        <v>3.1565762004175366</v>
      </c>
      <c r="G12" s="463"/>
    </row>
    <row r="13" spans="1:7" ht="14.25" thickTop="1" thickBot="1">
      <c r="A13" s="848" t="str">
        <f>Datos!A13</f>
        <v>TOTAL</v>
      </c>
      <c r="B13" s="858">
        <f>IF(ISNUMBER(NºAsuntos!G13/NºAsuntos!E13),NºAsuntos!G13/NºAsuntos!E13," - ")</f>
        <v>1.0235042735042734</v>
      </c>
      <c r="C13" s="859">
        <f>IF(ISNUMBER(NºAsuntos!I13/NºAsuntos!G13),NºAsuntos!I13/NºAsuntos!G13," - ")</f>
        <v>2.173277661795407</v>
      </c>
      <c r="D13" s="860">
        <f>IF(ISNUMBER('Resol  Asuntos'!D13/NºAsuntos!G13),'Resol  Asuntos'!D13/NºAsuntos!G13," - ")</f>
        <v>0.26513569937369519</v>
      </c>
      <c r="E13" s="861">
        <f>IF(ISNUMBER((NºAsuntos!C13+NºAsuntos!E13)/NºAsuntos!G13),(NºAsuntos!C13+NºAsuntos!E13)/NºAsuntos!G13," - ")</f>
        <v>3.173277661795407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0.9058441558441559</v>
      </c>
      <c r="C16" s="443">
        <f>IF(ISNUMBER(NºAsuntos!I16/NºAsuntos!G16),NºAsuntos!I16/NºAsuntos!G16," - ")</f>
        <v>2.2939068100358422</v>
      </c>
      <c r="D16" s="444">
        <f>IF(ISNUMBER('Resol  Asuntos'!D16/NºAsuntos!G16),'Resol  Asuntos'!D16/NºAsuntos!G16," - ")</f>
        <v>0.1863799283154122</v>
      </c>
      <c r="E16" s="445">
        <f>IF(ISNUMBER((NºAsuntos!C16+NºAsuntos!E16)/NºAsuntos!G16),(NºAsuntos!C16+NºAsuntos!E16)/NºAsuntos!G16," - ")</f>
        <v>3.2329749103942653</v>
      </c>
      <c r="G16" s="463"/>
    </row>
    <row r="17" spans="1:7" ht="13.5" thickBot="1">
      <c r="A17" s="402" t="str">
        <f>Datos!A17</f>
        <v>Jdos. Violencia contra la mujer</v>
      </c>
      <c r="B17" s="442">
        <f>IF(ISNUMBER(NºAsuntos!G17/NºAsuntos!E17),NºAsuntos!G17/NºAsuntos!E17," - ")</f>
        <v>0.78125</v>
      </c>
      <c r="C17" s="443">
        <f>IF(ISNUMBER(NºAsuntos!I17/NºAsuntos!G17),NºAsuntos!I17/NºAsuntos!G17," - ")</f>
        <v>3.2</v>
      </c>
      <c r="D17" s="444">
        <f>IF(ISNUMBER('Resol  Asuntos'!D17/NºAsuntos!G17),'Resol  Asuntos'!D17/NºAsuntos!G17," - ")</f>
        <v>0.2</v>
      </c>
      <c r="E17" s="445">
        <f>IF(ISNUMBER((NºAsuntos!C17+NºAsuntos!E17)/NºAsuntos!G17),(NºAsuntos!C17+NºAsuntos!E17)/NºAsuntos!G17," - ")</f>
        <v>4.84</v>
      </c>
      <c r="G17" s="463"/>
    </row>
    <row r="18" spans="1:7" ht="14.25" thickTop="1" thickBot="1">
      <c r="A18" s="848" t="str">
        <f>Datos!A18</f>
        <v>TOTAL</v>
      </c>
      <c r="B18" s="858">
        <f>IF(ISNUMBER(NºAsuntos!G18/NºAsuntos!E18),NºAsuntos!G18/NºAsuntos!E18," - ")</f>
        <v>0.89411764705882357</v>
      </c>
      <c r="C18" s="859">
        <f>IF(ISNUMBER(NºAsuntos!I18/NºAsuntos!G18),NºAsuntos!I18/NºAsuntos!G18," - ")</f>
        <v>2.3684210526315788</v>
      </c>
      <c r="D18" s="862">
        <f>IF(ISNUMBER('Resol  Asuntos'!D18/NºAsuntos!G18),'Resol  Asuntos'!D18/NºAsuntos!G18," - ")</f>
        <v>0.1875</v>
      </c>
      <c r="E18" s="861">
        <f>IF(ISNUMBER((NºAsuntos!C18+NºAsuntos!E18)/NºAsuntos!G18),(NºAsuntos!C18+NºAsuntos!E18)/NºAsuntos!G18," - ")</f>
        <v>3.3651315789473686</v>
      </c>
      <c r="G18" s="463"/>
    </row>
    <row r="19" spans="1:7" ht="15.75" customHeight="1" thickTop="1" thickBot="1">
      <c r="A19" s="793" t="str">
        <f>Datos!A19</f>
        <v>TOTAL JURISDICCIONES</v>
      </c>
      <c r="B19" s="808">
        <f>IF(ISNUMBER(NºAsuntos!G19/NºAsuntos!E19),NºAsuntos!G19/NºAsuntos!E19," - ")</f>
        <v>0.96905940594059403</v>
      </c>
      <c r="C19" s="809">
        <f>IF(ISNUMBER(NºAsuntos!I19/NºAsuntos!G19),NºAsuntos!I19/NºAsuntos!G19," - ")</f>
        <v>2.2490421455938696</v>
      </c>
      <c r="D19" s="810">
        <f>IF(ISNUMBER('Resol  Asuntos'!D19/NºAsuntos!G19),'Resol  Asuntos'!D19/NºAsuntos!G19," - ")</f>
        <v>0.23499361430395913</v>
      </c>
      <c r="E19" s="811">
        <f>IF(ISNUMBER((NºAsuntos!C19+NºAsuntos!E19)/NºAsuntos!G19),(NºAsuntos!C19+NºAsuntos!E19)/NºAsuntos!G19," - ")</f>
        <v>3.2477650063856962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WIpP62Q+6acBm/KtPeuZaXI+kXUmM1O3eXvWNXlKMEblsF4DgHgFRc3JXxcSHGHcBbeo007fAz1cMxn8Y8K9A==" saltValue="GAwC9GKgnfA92oalSLry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CIUTADELLA DE MENORCA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8</v>
      </c>
      <c r="AB10" s="334">
        <f>IF(ISNUMBER(Datos!R10),Datos!R10," - ")</f>
        <v>0</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v>
      </c>
      <c r="Y12" s="334">
        <f t="shared" si="0"/>
        <v>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127</v>
      </c>
      <c r="AJ12" s="229" t="str">
        <f>IF(ISNUMBER(Datos!BW12),Datos!BW12," - ")</f>
        <v xml:space="preserve"> - </v>
      </c>
      <c r="AK12" s="228" t="str">
        <f>IF(ISNUMBER(Datos!BX12),Datos!BX12," - ")</f>
        <v xml:space="preserve"> - </v>
      </c>
      <c r="AL12" s="243">
        <f>IF(ISNUMBER(NºAsuntos!G12/NºAsuntos!E12),NºAsuntos!G12/NºAsuntos!E12," - ")</f>
        <v>1.025695931477516</v>
      </c>
      <c r="AM12" s="260">
        <f>IF(ISNUMBER(((NºAsuntos!I12/NºAsuntos!G12)*11)/factor_trimestre),((NºAsuntos!I12/NºAsuntos!G12)*11)/factor_trimestre," - ")</f>
        <v>6.4697286012526094</v>
      </c>
      <c r="AN12" s="244">
        <f>IF(ISNUMBER('Resol  Asuntos'!D12/NºAsuntos!G12),'Resol  Asuntos'!D12/NºAsuntos!G12," - ")</f>
        <v>0.26513569937369519</v>
      </c>
      <c r="AO12" s="245">
        <f>IF(ISNUMBER((NºAsuntos!C12+NºAsuntos!E12)/NºAsuntos!G12),(NºAsuntos!C12+NºAsuntos!E12)/NºAsuntos!G12," - ")</f>
        <v>3.1565762004175366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7</v>
      </c>
      <c r="G13" s="866">
        <f t="shared" si="3"/>
        <v>7</v>
      </c>
      <c r="H13" s="865">
        <f t="shared" si="3"/>
        <v>0</v>
      </c>
      <c r="I13" s="867">
        <f t="shared" si="3"/>
        <v>0</v>
      </c>
      <c r="J13" s="867">
        <f t="shared" si="3"/>
        <v>0</v>
      </c>
      <c r="K13" s="867">
        <f t="shared" si="3"/>
        <v>0</v>
      </c>
      <c r="L13" s="867">
        <f t="shared" si="3"/>
        <v>114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42</v>
      </c>
      <c r="Y13" s="868">
        <f t="shared" si="4"/>
        <v>42</v>
      </c>
      <c r="Z13" s="868">
        <f t="shared" si="4"/>
        <v>0</v>
      </c>
      <c r="AA13" s="868">
        <f t="shared" si="4"/>
        <v>8</v>
      </c>
      <c r="AB13" s="868">
        <f t="shared" si="4"/>
        <v>1347</v>
      </c>
      <c r="AC13" s="868">
        <f t="shared" si="4"/>
        <v>8</v>
      </c>
      <c r="AD13" s="868">
        <f t="shared" si="4"/>
        <v>0</v>
      </c>
      <c r="AE13" s="872">
        <f t="shared" si="4"/>
        <v>0</v>
      </c>
      <c r="AF13" s="865">
        <f t="shared" si="4"/>
        <v>0</v>
      </c>
      <c r="AG13" s="873">
        <f t="shared" si="4"/>
        <v>0</v>
      </c>
      <c r="AH13" s="870">
        <f t="shared" si="4"/>
        <v>0</v>
      </c>
      <c r="AI13" s="865">
        <f t="shared" si="4"/>
        <v>127</v>
      </c>
      <c r="AJ13" s="867">
        <f t="shared" si="4"/>
        <v>0</v>
      </c>
      <c r="AK13" s="870">
        <f>SUBTOTAL(9,AK9:AK12)</f>
        <v>0</v>
      </c>
      <c r="AL13" s="874">
        <f>IF(ISNUMBER(NºAsuntos!G13/NºAsuntos!E13),NºAsuntos!G13/NºAsuntos!E13," - ")</f>
        <v>1.0235042735042734</v>
      </c>
      <c r="AM13" s="874">
        <f>IF(ISNUMBER(((NºAsuntos!I13/NºAsuntos!G13)*11)/factor_trimestre),((NºAsuntos!I13/NºAsuntos!G13)*11)/factor_trimestre," - ")</f>
        <v>6.5198329853862207</v>
      </c>
      <c r="AN13" s="875">
        <f>IF(ISNUMBER('Resol  Asuntos'!D13/NºAsuntos!G13),'Resol  Asuntos'!D13/NºAsuntos!G13," - ")</f>
        <v>0.26513569937369519</v>
      </c>
      <c r="AO13" s="876">
        <f>IF(ISNUMBER((NºAsuntos!C13+NºAsuntos!E13)/NºAsuntos!G13),(NºAsuntos!C13+NºAsuntos!E13)/NºAsuntos!G13," - ")</f>
        <v>3.173277661795407</v>
      </c>
      <c r="AP13" s="877" t="str">
        <f t="shared" si="2"/>
        <v xml:space="preserve"> - </v>
      </c>
      <c r="AQ13" s="877">
        <f>IF(ISNUMBER((H13-W13+K13)/(F13)),(H13-W13+K13)/(F13)," - ")</f>
        <v>0</v>
      </c>
      <c r="AR13" s="878">
        <f>IF(ISNUMBER((Datos!P13-Datos!Q13)/(Datos!R13-Datos!P13+Datos!Q13)),(Datos!P13-Datos!Q13)/(Datos!R13-Datos!P13+Datos!Q13)," - ")</f>
        <v>5.647058823529412E-2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611</v>
      </c>
      <c r="G16" s="333">
        <f>IF(ISNUMBER(IF(D_I="SI",Datos!I16,Datos!I16+Datos!AC16)),IF(D_I="SI",Datos!I16,Datos!I16+Datos!AC16)," - ")</f>
        <v>594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279</v>
      </c>
      <c r="X16" s="226">
        <f>IF(ISNUMBER(Datos!Q16),Datos!Q16," - ")</f>
        <v>25</v>
      </c>
      <c r="Y16" s="334">
        <f t="shared" ref="Y16:Y17" si="7">SUM(W16:X16)</f>
        <v>304</v>
      </c>
      <c r="Z16" s="335" t="str">
        <f>IF(ISNUMBER(Datos!CC16),Datos!CC16," - ")</f>
        <v xml:space="preserve"> - </v>
      </c>
      <c r="AA16" s="332">
        <f>IF(ISNUMBER(IF(D_I="SI",Datos!L16,Datos!L16+Datos!AF16)),IF(D_I="SI",Datos!L16,Datos!L16+Datos!AF16)," - ")</f>
        <v>640</v>
      </c>
      <c r="AB16" s="334">
        <f>IF(ISNUMBER(Datos!R16),Datos!R16," - ")</f>
        <v>88</v>
      </c>
      <c r="AC16" s="334">
        <f t="shared" si="6"/>
        <v>728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0.9058441558441559</v>
      </c>
      <c r="AM16" s="260">
        <f>IF(ISNUMBER(((NºAsuntos!I16/NºAsuntos!G16)*11)/factor_trimestre),((NºAsuntos!I16/NºAsuntos!G16)*11)/factor_trimestre," - ")</f>
        <v>6.881720430107527</v>
      </c>
      <c r="AN16" s="244">
        <f>IF(ISNUMBER('Resol  Asuntos'!D16/NºAsuntos!G16),'Resol  Asuntos'!D16/NºAsuntos!G16," - ")</f>
        <v>0.1863799283154122</v>
      </c>
      <c r="AO16" s="245">
        <f>IF(ISNUMBER((NºAsuntos!C16+NºAsuntos!E16)/NºAsuntos!G16),(NºAsuntos!C16+NºAsuntos!E16)/NºAsuntos!G16," - ")</f>
        <v>3.2329749103942653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80</v>
      </c>
      <c r="AB17" s="334">
        <f>IF(ISNUMBER(Datos!R17),Datos!R17," - ")</f>
        <v>0</v>
      </c>
      <c r="AC17" s="334">
        <f t="shared" si="6"/>
        <v>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0.78125</v>
      </c>
      <c r="AM17" s="260">
        <f>IF(ISNUMBER(((NºAsuntos!I17/NºAsuntos!G17)*11)/factor_trimestre),((NºAsuntos!I17/NºAsuntos!G17)*11)/factor_trimestre," - ")</f>
        <v>9.6000000000000014</v>
      </c>
      <c r="AN17" s="244">
        <f>IF(ISNUMBER('Resol  Asuntos'!D17/NºAsuntos!G17),'Resol  Asuntos'!D17/NºAsuntos!G17," - ")</f>
        <v>0.2</v>
      </c>
      <c r="AO17" s="245">
        <f>IF(ISNUMBER((NºAsuntos!C17+NºAsuntos!E17)/NºAsuntos!G17),(NºAsuntos!C17+NºAsuntos!E17)/NºAsuntos!G17," - ")</f>
        <v>4.84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611</v>
      </c>
      <c r="G18" s="866">
        <f>SUBTOTAL(9,G15:G17)</f>
        <v>683</v>
      </c>
      <c r="H18" s="865">
        <f t="shared" ref="H18:O18" si="10">SUBTOTAL(9,H14:H17)</f>
        <v>0</v>
      </c>
      <c r="I18" s="867">
        <f t="shared" si="10"/>
        <v>0</v>
      </c>
      <c r="J18" s="867">
        <f t="shared" si="10"/>
        <v>0</v>
      </c>
      <c r="K18" s="867">
        <f t="shared" si="10"/>
        <v>0</v>
      </c>
      <c r="L18" s="867">
        <f t="shared" si="10"/>
        <v>38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304</v>
      </c>
      <c r="X18" s="867">
        <f t="shared" si="11"/>
        <v>25</v>
      </c>
      <c r="Y18" s="868">
        <f t="shared" si="11"/>
        <v>329</v>
      </c>
      <c r="Z18" s="868">
        <f t="shared" si="11"/>
        <v>0</v>
      </c>
      <c r="AA18" s="868">
        <f t="shared" si="11"/>
        <v>720</v>
      </c>
      <c r="AB18" s="868">
        <f t="shared" si="11"/>
        <v>88</v>
      </c>
      <c r="AC18" s="868">
        <f t="shared" si="11"/>
        <v>808</v>
      </c>
      <c r="AD18" s="868">
        <f t="shared" si="11"/>
        <v>0</v>
      </c>
      <c r="AE18" s="872">
        <f t="shared" si="11"/>
        <v>0</v>
      </c>
      <c r="AF18" s="865">
        <f t="shared" si="11"/>
        <v>0</v>
      </c>
      <c r="AG18" s="873">
        <f t="shared" si="11"/>
        <v>0</v>
      </c>
      <c r="AH18" s="870">
        <f t="shared" si="11"/>
        <v>0</v>
      </c>
      <c r="AI18" s="865">
        <f t="shared" si="11"/>
        <v>57</v>
      </c>
      <c r="AJ18" s="867">
        <f t="shared" si="11"/>
        <v>0</v>
      </c>
      <c r="AK18" s="870">
        <f t="shared" si="11"/>
        <v>0</v>
      </c>
      <c r="AL18" s="874">
        <f>IF(ISNUMBER(NºAsuntos!G18/NºAsuntos!E18),NºAsuntos!G18/NºAsuntos!E18," - ")</f>
        <v>0.89411764705882357</v>
      </c>
      <c r="AM18" s="874">
        <f>IF(ISNUMBER(((NºAsuntos!I18/NºAsuntos!G18)*11)/factor_trimestre),((NºAsuntos!I18/NºAsuntos!G18)*11)/factor_trimestre," - ")</f>
        <v>7.1052631578947363</v>
      </c>
      <c r="AN18" s="875">
        <f>IF(ISNUMBER('Resol  Asuntos'!D18/NºAsuntos!G18),'Resol  Asuntos'!D18/NºAsuntos!G18," - ")</f>
        <v>0.1875</v>
      </c>
      <c r="AO18" s="876">
        <f>IF(ISNUMBER((NºAsuntos!C18+NºAsuntos!E18)/NºAsuntos!G18),(NºAsuntos!C18+NºAsuntos!E18)/NºAsuntos!G18," - ")</f>
        <v>3.3651315789473686</v>
      </c>
      <c r="AP18" s="877" t="str">
        <f t="shared" si="2"/>
        <v xml:space="preserve"> - </v>
      </c>
      <c r="AQ18" s="877">
        <f>IF(ISNUMBER((H18-W18+K18)/(F18)),(H18-W18+K18)/(F18)," - ")</f>
        <v>-0.49754500818330605</v>
      </c>
      <c r="AR18" s="878">
        <f>IF(ISNUMBER((Datos!P18-Datos!Q18)/(Datos!R18-Datos!P18+Datos!Q18)),(Datos!P18-Datos!Q18)/(Datos!R18-Datos!P18+Datos!Q18)," - ")</f>
        <v>0.17333333333333334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618</v>
      </c>
      <c r="G19" s="821">
        <f t="shared" si="13"/>
        <v>690</v>
      </c>
      <c r="H19" s="820">
        <f t="shared" si="13"/>
        <v>0</v>
      </c>
      <c r="I19" s="822">
        <f t="shared" si="13"/>
        <v>0</v>
      </c>
      <c r="J19" s="822">
        <f t="shared" si="13"/>
        <v>0</v>
      </c>
      <c r="K19" s="881">
        <f t="shared" si="13"/>
        <v>0</v>
      </c>
      <c r="L19" s="822">
        <f t="shared" si="13"/>
        <v>152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304</v>
      </c>
      <c r="X19" s="821">
        <f t="shared" si="14"/>
        <v>67</v>
      </c>
      <c r="Y19" s="828">
        <f t="shared" si="14"/>
        <v>371</v>
      </c>
      <c r="Z19" s="828">
        <f t="shared" si="14"/>
        <v>0</v>
      </c>
      <c r="AA19" s="828">
        <f t="shared" si="14"/>
        <v>728</v>
      </c>
      <c r="AB19" s="828">
        <f t="shared" si="14"/>
        <v>1435</v>
      </c>
      <c r="AC19" s="828">
        <f t="shared" si="14"/>
        <v>816</v>
      </c>
      <c r="AD19" s="828">
        <f t="shared" si="14"/>
        <v>0</v>
      </c>
      <c r="AE19" s="830">
        <f t="shared" si="14"/>
        <v>0</v>
      </c>
      <c r="AF19" s="831">
        <f t="shared" si="14"/>
        <v>0</v>
      </c>
      <c r="AG19" s="832">
        <f t="shared" si="14"/>
        <v>0</v>
      </c>
      <c r="AH19" s="830">
        <f t="shared" si="14"/>
        <v>0</v>
      </c>
      <c r="AI19" s="820">
        <f t="shared" si="14"/>
        <v>184</v>
      </c>
      <c r="AJ19" s="820">
        <f t="shared" si="14"/>
        <v>0</v>
      </c>
      <c r="AK19" s="830">
        <f t="shared" si="14"/>
        <v>0</v>
      </c>
      <c r="AL19" s="884">
        <f>IF(ISNUMBER(NºAsuntos!G19/NºAsuntos!E19),NºAsuntos!G19/NºAsuntos!E19," - ")</f>
        <v>0.96905940594059403</v>
      </c>
      <c r="AM19" s="885">
        <f>IF(ISNUMBER(((NºAsuntos!I19/NºAsuntos!G19)*11)/factor_trimestre),((NºAsuntos!I19/NºAsuntos!G19)*11)/factor_trimestre," - ")</f>
        <v>6.7471264367816097</v>
      </c>
      <c r="AN19" s="885">
        <f>IF(ISNUMBER('Resol  Asuntos'!D19/NºAsuntos!G19),'Resol  Asuntos'!D19/NºAsuntos!G19," - ")</f>
        <v>0.23499361430395913</v>
      </c>
      <c r="AO19" s="886">
        <f>IF(ISNUMBER((NºAsuntos!C19+NºAsuntos!E19)/NºAsuntos!G19),(NºAsuntos!C19+NºAsuntos!E19)/NºAsuntos!G19," - ")</f>
        <v>3.2477650063856962</v>
      </c>
      <c r="AP19" s="887" t="str">
        <f t="shared" si="2"/>
        <v xml:space="preserve"> - </v>
      </c>
      <c r="AQ19" s="888">
        <f>IF(OR(ISNUMBER(FIND("01",Criterios!A8,1)),ISNUMBER(FIND("02",Criterios!A8,1)),ISNUMBER(FIND("03",Criterios!A8,1)),ISNUMBER(FIND("04",Criterios!A8,1))),(I19-W19+K19)/(F19-K19),(H19-W19+K19)/(F19-K19))</f>
        <v>-0.49190938511326859</v>
      </c>
      <c r="AR19" s="889">
        <f>IF(ISNUMBER((Datos!P19-Datos!Q19)/(Datos!R19-Datos!P19+Datos!Q19)),(Datos!P19-Datos!Q19)/(Datos!R19-Datos!P19+Datos!Q19)," - ")</f>
        <v>6.2962962962962957E-2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348.71956259053394</v>
      </c>
      <c r="G21" s="253">
        <f>IF(ISNUMBER(STDEV(G8:G18)),STDEV(G8:G18),"-")</f>
        <v>334.08980828513762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155.68333244120899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55.973803396469911</v>
      </c>
      <c r="AJ21" s="252">
        <f t="shared" si="18"/>
        <v>0</v>
      </c>
      <c r="AK21" s="254">
        <f t="shared" si="18"/>
        <v>0</v>
      </c>
      <c r="AL21" s="249">
        <f t="shared" si="18"/>
        <v>0.3889761291466306</v>
      </c>
      <c r="AM21" s="250">
        <f t="shared" si="18"/>
        <v>1.3038135957432442</v>
      </c>
      <c r="AN21" s="250">
        <f t="shared" si="18"/>
        <v>4.0796982831777975E-2</v>
      </c>
      <c r="AO21" s="251">
        <f t="shared" si="18"/>
        <v>0.72377806195626293</v>
      </c>
      <c r="AP21" s="291" t="str">
        <f t="shared" si="18"/>
        <v>-</v>
      </c>
      <c r="AQ21" s="292">
        <f t="shared" si="18"/>
        <v>0.35181744923193198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lUK4o0ZH1C8bWSPGNbUbttUsE5ZgvB+7BJX28M2lArxFoIQyTliQUEKNbNcyltMSc3eI+cjhjIFBxSzQ8f2c0g==" saltValue="WWi11+BnIAyQ2DqTysejR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CIUTADELLA DE MENORCA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v>
      </c>
      <c r="E10" s="348">
        <f>IF(ISNUMBER((Datos!J10-Datos!T10)/Datos!T10),(Datos!J10-Datos!T10)/Datos!T10," - ")</f>
        <v>-0.66666666666666663</v>
      </c>
      <c r="F10" s="348">
        <f>IF(ISNUMBER((Datos!K10-Datos!U10)/Datos!U10),(Datos!K10-Datos!U10)/Datos!U10," - ")</f>
        <v>-1</v>
      </c>
      <c r="G10" s="349">
        <f>IF(ISNUMBER((Datos!L10-Datos!V10)/Datos!V10),(Datos!L10-Datos!V10)/Datos!V10," - ")</f>
        <v>-0.27272727272727271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0.51190476190476186</v>
      </c>
      <c r="I12" s="350">
        <f>IF(ISNUMBER((Tasas!C12-Datos!BE12)/Datos!BE12),(Tasas!C12-Datos!BE12)/Datos!BE12," - ")</f>
        <v>-2.258721734537345E-3</v>
      </c>
      <c r="J12" s="349">
        <f>IF(ISNUMBER((Tasas!D12-Datos!BF12)/Datos!BF12),(Tasas!D12-Datos!BF12)/Datos!BF12," - ")</f>
        <v>-0.40460755228363188</v>
      </c>
      <c r="K12" s="351">
        <f>IF(ISNUMBER((Tasas!E12-Datos!BG12)/Datos!BG12),(Tasas!E12-Datos!BG12)/Datos!BG12," - ")</f>
        <v>-1.5442660952767681E-3</v>
      </c>
      <c r="M12" t="e">
        <f>IF(Monitorios="SI",Datos!CE12,0)</f>
        <v>#REF!</v>
      </c>
      <c r="N12" t="e">
        <f>IF(Monitorios="SI",Datos!CF12,0)</f>
        <v>#REF!</v>
      </c>
      <c r="O12" t="e">
        <f>IF(Monitorios="SI",Datos!CG12,0)</f>
        <v>#REF!</v>
      </c>
      <c r="P12" t="e">
        <f>IF(Monitorios="SI",Datos!CH12,0)</f>
        <v>#REF!</v>
      </c>
      <c r="Q12">
        <f>IF(J_V="SI",0,Datos!AG12)</f>
        <v>28</v>
      </c>
      <c r="R12">
        <f>IF(J_V="SI",0,Datos!AH12)</f>
        <v>23</v>
      </c>
      <c r="S12">
        <f>IF(J_V="SI",0,Datos!AI12)</f>
        <v>23</v>
      </c>
      <c r="T12">
        <f>IF(J_V="SI",0,Datos!AJ12)</f>
        <v>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0.49411764705882355</v>
      </c>
      <c r="I13" s="357">
        <f>IF(ISNUMBER((Tasas!C13-Datos!BE13)/Datos!BE13),(Tasas!C13-Datos!BE13)/Datos!BE13," - ")</f>
        <v>-2.5146522556158788E-3</v>
      </c>
      <c r="J13" s="355">
        <f>IF(ISNUMBER((Tasas!D13-Datos!BF13)/Datos!BF13),(Tasas!D13-Datos!BF13)/Datos!BF13," - ")</f>
        <v>-0.40498616303345147</v>
      </c>
      <c r="K13" s="358">
        <f>IF(ISNUMBER((Tasas!E13-Datos!BG13)/Datos!BG13),(Tasas!E13-Datos!BG13)/Datos!BG13," - ")</f>
        <v>-1.723571757924168E-3</v>
      </c>
      <c r="M13" t="e">
        <f>IF(Monitorios="SI",Datos!CE13,0)</f>
        <v>#REF!</v>
      </c>
      <c r="N13" t="e">
        <f>IF(Monitorios="SI",Datos!CF13,0)</f>
        <v>#REF!</v>
      </c>
      <c r="O13" t="e">
        <f>IF(Monitorios="SI",Datos!CG13,0)</f>
        <v>#REF!</v>
      </c>
      <c r="P13" t="e">
        <f>IF(Monitorios="SI",Datos!CH13,0)</f>
        <v>#REF!</v>
      </c>
      <c r="Q13">
        <f>IF(J_V="SI",0,Datos!AG13)</f>
        <v>28</v>
      </c>
      <c r="R13">
        <f>IF(J_V="SI",0,Datos!AH13)</f>
        <v>23</v>
      </c>
      <c r="S13">
        <f>IF(J_V="SI",0,Datos!AI13)</f>
        <v>23</v>
      </c>
      <c r="T13">
        <f>IF(J_V="SI",0,Datos!AJ13)</f>
        <v>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0.31125827814569534</v>
      </c>
      <c r="E16" s="348">
        <f>IF(ISNUMBER(
   IF(D_I="SI",(Datos!J16-Datos!T16)/Datos!T16,(Datos!J16+Datos!AD16-(Datos!T16+Datos!AL16))/(Datos!T16+Datos!AL16))
     ),IF(D_I="SI",(Datos!J16-Datos!T16)/Datos!T16,(Datos!J16+Datos!AD16-(Datos!T16+Datos!AL16))/(Datos!T16+Datos!AL16))," - ")</f>
        <v>4.0540540540540543E-2</v>
      </c>
      <c r="F16" s="348">
        <f>IF(ISNUMBER(
   IF(D_I="SI",(Datos!K16-Datos!U16)/Datos!U16,(Datos!K16+Datos!AE16-(Datos!U16+Datos!AM16))/(Datos!U16+Datos!AM16))
     ),IF(D_I="SI",(Datos!K16-Datos!U16)/Datos!U16,(Datos!K16+Datos!AE16-(Datos!U16+Datos!AM16))/(Datos!U16+Datos!AM16))," - ")</f>
        <v>-2.7874564459930314E-2</v>
      </c>
      <c r="G16" s="349">
        <f>IF(ISNUMBER(
   IF(D_I="SI",(Datos!L16-Datos!V16)/Datos!V16,(Datos!L16+Datos!AF16-(Datos!V16+Datos!AN16))/(Datos!V16+Datos!AN16))
     ),IF(D_I="SI",(Datos!L16-Datos!V16)/Datos!V16,(Datos!L16+Datos!AF16-(Datos!V16+Datos!AN16))/(Datos!V16+Datos!AN16))," - ")</f>
        <v>0.54589371980676327</v>
      </c>
      <c r="H16" s="230">
        <f>IF(ISNUMBER((Datos!M16-Datos!W16)/Datos!W16),(Datos!M16-Datos!W16)/Datos!W16," - ")</f>
        <v>-0.26760563380281688</v>
      </c>
      <c r="I16" s="350">
        <f>IF(ISNUMBER((Tasas!C16-Datos!BE16)/Datos!BE16),(Tasas!C16-Datos!BE16)/Datos!BE16," - ")</f>
        <v>0.590220421449968</v>
      </c>
      <c r="J16" s="349">
        <f>IF(ISNUMBER((Tasas!D16-Datos!BF16)/Datos!BF16),(Tasas!D16-Datos!BF16)/Datos!BF16," - ")</f>
        <v>-0.24660507849967181</v>
      </c>
      <c r="K16" s="351">
        <f>IF(ISNUMBER((Tasas!E16-Datos!BG16)/Datos!BG16),(Tasas!E16-Datos!BG16)/Datos!BG16," - ")</f>
        <v>0.23880347033798946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0.45901639344262296</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-0.16666666666666666</v>
      </c>
      <c r="G17" s="349">
        <f>IF(ISNUMBER(
   IF(D_I="SI",(Datos!L17-Datos!V17)/Datos!V17,(Datos!L17+Datos!AF17-(Datos!V17+Datos!AN17))/(Datos!V17+Datos!AN17))
     ),IF(D_I="SI",(Datos!L17-Datos!V17)/Datos!V17,(Datos!L17+Datos!AF17-(Datos!V17+Datos!AN17))/(Datos!V17+Datos!AN17))," - ")</f>
        <v>0.26984126984126983</v>
      </c>
      <c r="H17" s="230">
        <f>IF(ISNUMBER((Datos!M17-Datos!W17)/Datos!W17),(Datos!M17-Datos!W17)/Datos!W17," - ")</f>
        <v>0.66666666666666663</v>
      </c>
      <c r="I17" s="350">
        <f>IF(ISNUMBER((Tasas!C17-Datos!BE17)/Datos!BE17),(Tasas!C17-Datos!BE17)/Datos!BE17," - ")</f>
        <v>0.52380952380952384</v>
      </c>
      <c r="J17" s="349">
        <f>IF(ISNUMBER((Tasas!D17-Datos!BF17)/Datos!BF17),(Tasas!D17-Datos!BF17)/Datos!BF17," - ")</f>
        <v>1</v>
      </c>
      <c r="K17" s="351">
        <f>IF(ISNUMBER((Tasas!E17-Datos!BG17)/Datos!BG17),(Tasas!E17-Datos!BG17)/Datos!BG17," - ")</f>
        <v>0.56129032258064504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0.32879377431906615</v>
      </c>
      <c r="E18" s="354">
        <f>IF(ISNUMBER(
   IF(D_I="SI",(Datos!J18-Datos!T18)/Datos!T18,(Datos!J18+Datos!AD18-(Datos!T18+Datos!AL18))/(Datos!T18+Datos!AL18))
     ),IF(D_I="SI",(Datos!J18-Datos!T18)/Datos!T18,(Datos!J18+Datos!AD18-(Datos!T18+Datos!AL18))/(Datos!T18+Datos!AL18))," - ")</f>
        <v>3.6585365853658534E-2</v>
      </c>
      <c r="F18" s="354">
        <f>IF(ISNUMBER(
   IF(D_I="SI",(Datos!K18-Datos!U18)/Datos!U18,(Datos!K18+Datos!AE18-(Datos!U18+Datos!AM18))/(Datos!U18+Datos!AM18))
     ),IF(D_I="SI",(Datos!K18-Datos!U18)/Datos!U18,(Datos!K18+Datos!AE18-(Datos!U18+Datos!AM18))/(Datos!U18+Datos!AM18))," - ")</f>
        <v>-4.1009463722397478E-2</v>
      </c>
      <c r="G18" s="355">
        <f>IF(ISNUMBER(
   IF(D_I="SI",(Datos!L18-Datos!V18)/Datos!V18,(Datos!L18+Datos!AF18-(Datos!V18+Datos!AN18))/(Datos!V18+Datos!AN18))
     ),IF(D_I="SI",(Datos!L18-Datos!V18)/Datos!V18,(Datos!L18+Datos!AF18-(Datos!V18+Datos!AN18))/(Datos!V18+Datos!AN18))," - ")</f>
        <v>0.50943396226415094</v>
      </c>
      <c r="H18" s="356">
        <f>IF(ISNUMBER((Datos!M18-Datos!W18)/Datos!W18),(Datos!M18-Datos!W18)/Datos!W18," - ")</f>
        <v>-0.22972972972972974</v>
      </c>
      <c r="I18" s="357">
        <f>IF(ISNUMBER((Tasas!C18-Datos!BE18)/Datos!BE18),(Tasas!C18-Datos!BE18)/Datos!BE18," - ")</f>
        <v>0.57398212512413094</v>
      </c>
      <c r="J18" s="355">
        <f>IF(ISNUMBER((Tasas!D18-Datos!BF18)/Datos!BF18),(Tasas!D18-Datos!BF18)/Datos!BF18," - ")</f>
        <v>-0.19679054054054052</v>
      </c>
      <c r="K18" s="358">
        <f>IF(ISNUMBER((Tasas!E18-Datos!BG18)/Datos!BG18),(Tasas!E18-Datos!BG18)/Datos!BG18," - ")</f>
        <v>0.26692008376047016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0.28423390081421168</v>
      </c>
      <c r="E19" s="363">
        <f>IF(ISNUMBER(
   IF(J_V="SI",(Datos!J19-Datos!T19)/Datos!T19,(Datos!J19+Datos!Z19-(Datos!T19+Datos!AH19))/(Datos!T19+Datos!AH19))
     ),IF(J_V="SI",(Datos!J19-Datos!T19)/Datos!T19,(Datos!J19+Datos!Z19-(Datos!T19+Datos!AH19))/(Datos!T19+Datos!AH19))," - ")</f>
        <v>0.12534818941504178</v>
      </c>
      <c r="F19" s="363">
        <f>IF(ISNUMBER(
   IF(J_V="SI",(Datos!K19-Datos!U19)/Datos!U19,(Datos!K19+Datos!AA19-(Datos!U19+Datos!AI19))/(Datos!U19+Datos!AI19))
     ),IF(J_V="SI",(Datos!K19-Datos!U19)/Datos!U19,(Datos!K19+Datos!AA19-(Datos!U19+Datos!AI19))/(Datos!U19+Datos!AI19))," - ")</f>
        <v>0.11379800853485064</v>
      </c>
      <c r="G19" s="364">
        <f>IF(ISNUMBER(
   IF(J_V="SI",(Datos!L19-Datos!V19)/Datos!V19,(Datos!L19+Datos!AB19-(Datos!V19+Datos!AJ19))/(Datos!V19+Datos!AJ19))
     ),IF(J_V="SI",(Datos!L19-Datos!V19)/Datos!V19,(Datos!L19+Datos!AB19-(Datos!V19+Datos!AJ19))/(Datos!V19+Datos!AJ19))," - ")</f>
        <v>0.33611532625189683</v>
      </c>
      <c r="H19" s="365">
        <f>IF(ISNUMBER((Datos!M19-Datos!W19)/Datos!W19),(Datos!M19-Datos!W19)/Datos!W19," - ")</f>
        <v>0.15723270440251572</v>
      </c>
      <c r="I19" s="362">
        <f>IF(ISNUMBER((Tasas!C19-Datos!BE19)/Datos!BE19),(Tasas!C19-Datos!BE19)/Datos!BE19," - ")</f>
        <v>0.19960290466805039</v>
      </c>
      <c r="J19" s="363">
        <f>IF(ISNUMBER((Tasas!D19-Datos!BF19)/Datos!BF19),(Tasas!D19-Datos!BF19)/Datos!BF19," - ")</f>
        <v>-0.32845320790372662</v>
      </c>
      <c r="K19" s="364">
        <f>IF(ISNUMBER((Tasas!E19-Datos!BG19)/Datos!BG19),(Tasas!E19-Datos!BG19)/Datos!BG19," - ")</f>
        <v>0.10351802778595663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0.33963486073677335</v>
      </c>
      <c r="E21" s="278">
        <f t="shared" si="1"/>
        <v>0.34666837749293389</v>
      </c>
      <c r="F21" s="278">
        <f t="shared" si="1"/>
        <v>0.46496959232152985</v>
      </c>
      <c r="G21" s="279">
        <f t="shared" si="1"/>
        <v>0.37762813251929622</v>
      </c>
      <c r="H21" s="285">
        <f t="shared" si="1"/>
        <v>0.64341384537177293</v>
      </c>
      <c r="I21" s="277">
        <f t="shared" si="1"/>
        <v>0.31046133679764165</v>
      </c>
      <c r="J21" s="278">
        <f t="shared" si="1"/>
        <v>0.5946555567178925</v>
      </c>
      <c r="K21" s="279">
        <f t="shared" si="1"/>
        <v>0.23292406660576404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ltTAkChCXQ/+PucePFo6/TZLW7VNyJ98piy8akVaFX+mVH0+jrIWp8UpqttAulalZDVkZBcFrA7kt5eZ1cnZA==" saltValue="eYeJf16DZgYRJOdyslOAR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2024-05-29T13:10:35Z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